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derziaikina/Desktop/"/>
    </mc:Choice>
  </mc:AlternateContent>
  <xr:revisionPtr revIDLastSave="0" documentId="8_{B3F1A3CF-8B73-4145-B7CF-27DBC11FD093}" xr6:coauthVersionLast="47" xr6:coauthVersionMax="47" xr10:uidLastSave="{00000000-0000-0000-0000-000000000000}"/>
  <bookViews>
    <workbookView xWindow="0" yWindow="680" windowWidth="29400" windowHeight="18440" activeTab="1" xr2:uid="{00000000-000D-0000-FFFF-FFFF00000000}"/>
  </bookViews>
  <sheets>
    <sheet name="Навигатор накоплений" sheetId="1" r:id="rId1"/>
    <sheet name="Расчеты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4" i="3" l="1"/>
  <c r="G174" i="3"/>
  <c r="D174" i="3"/>
  <c r="I173" i="3"/>
  <c r="G173" i="3"/>
  <c r="D173" i="3"/>
  <c r="I172" i="3"/>
  <c r="G172" i="3"/>
  <c r="D172" i="3"/>
  <c r="I171" i="3"/>
  <c r="G171" i="3"/>
  <c r="D171" i="3"/>
  <c r="I170" i="3"/>
  <c r="G170" i="3"/>
  <c r="D170" i="3"/>
  <c r="I169" i="3"/>
  <c r="G169" i="3"/>
  <c r="D169" i="3"/>
  <c r="I168" i="3"/>
  <c r="G168" i="3"/>
  <c r="D168" i="3"/>
  <c r="I167" i="3"/>
  <c r="G167" i="3"/>
  <c r="D167" i="3"/>
  <c r="I166" i="3"/>
  <c r="G166" i="3"/>
  <c r="D166" i="3"/>
  <c r="I165" i="3"/>
  <c r="G165" i="3"/>
  <c r="D165" i="3"/>
  <c r="I164" i="3"/>
  <c r="G164" i="3"/>
  <c r="D164" i="3"/>
  <c r="I163" i="3"/>
  <c r="G163" i="3"/>
  <c r="I157" i="3"/>
  <c r="G157" i="3"/>
  <c r="D157" i="3"/>
  <c r="I156" i="3"/>
  <c r="G156" i="3"/>
  <c r="D156" i="3"/>
  <c r="I155" i="3"/>
  <c r="G155" i="3"/>
  <c r="D155" i="3"/>
  <c r="I154" i="3"/>
  <c r="G154" i="3"/>
  <c r="D154" i="3"/>
  <c r="I153" i="3"/>
  <c r="G153" i="3"/>
  <c r="D153" i="3"/>
  <c r="I152" i="3"/>
  <c r="G152" i="3"/>
  <c r="D152" i="3"/>
  <c r="I151" i="3"/>
  <c r="G151" i="3"/>
  <c r="D151" i="3"/>
  <c r="I150" i="3"/>
  <c r="G150" i="3"/>
  <c r="D150" i="3"/>
  <c r="I149" i="3"/>
  <c r="G149" i="3"/>
  <c r="D149" i="3"/>
  <c r="I148" i="3"/>
  <c r="G148" i="3"/>
  <c r="D148" i="3"/>
  <c r="I147" i="3"/>
  <c r="G147" i="3"/>
  <c r="D147" i="3"/>
  <c r="I146" i="3"/>
  <c r="G146" i="3"/>
  <c r="I140" i="3"/>
  <c r="G140" i="3"/>
  <c r="D140" i="3"/>
  <c r="I139" i="3"/>
  <c r="G139" i="3"/>
  <c r="D139" i="3"/>
  <c r="I138" i="3"/>
  <c r="G138" i="3"/>
  <c r="D138" i="3"/>
  <c r="I137" i="3"/>
  <c r="G137" i="3"/>
  <c r="D137" i="3"/>
  <c r="I136" i="3"/>
  <c r="G136" i="3"/>
  <c r="D136" i="3"/>
  <c r="I135" i="3"/>
  <c r="G135" i="3"/>
  <c r="D135" i="3"/>
  <c r="I134" i="3"/>
  <c r="G134" i="3"/>
  <c r="D134" i="3"/>
  <c r="I133" i="3"/>
  <c r="G133" i="3"/>
  <c r="D133" i="3"/>
  <c r="I132" i="3"/>
  <c r="G132" i="3"/>
  <c r="D132" i="3"/>
  <c r="I131" i="3"/>
  <c r="G131" i="3"/>
  <c r="D131" i="3"/>
  <c r="I130" i="3"/>
  <c r="G130" i="3"/>
  <c r="D130" i="3"/>
  <c r="I129" i="3"/>
  <c r="G129" i="3"/>
  <c r="I123" i="3"/>
  <c r="G123" i="3"/>
  <c r="D123" i="3"/>
  <c r="I122" i="3"/>
  <c r="G122" i="3"/>
  <c r="D122" i="3"/>
  <c r="I121" i="3"/>
  <c r="G121" i="3"/>
  <c r="D121" i="3"/>
  <c r="I120" i="3"/>
  <c r="G120" i="3"/>
  <c r="D120" i="3"/>
  <c r="I119" i="3"/>
  <c r="G119" i="3"/>
  <c r="D119" i="3"/>
  <c r="I118" i="3"/>
  <c r="G118" i="3"/>
  <c r="D118" i="3"/>
  <c r="I117" i="3"/>
  <c r="G117" i="3"/>
  <c r="D117" i="3"/>
  <c r="I116" i="3"/>
  <c r="G116" i="3"/>
  <c r="D116" i="3"/>
  <c r="I115" i="3"/>
  <c r="G115" i="3"/>
  <c r="D115" i="3"/>
  <c r="I114" i="3"/>
  <c r="G114" i="3"/>
  <c r="D114" i="3"/>
  <c r="I113" i="3"/>
  <c r="G113" i="3"/>
  <c r="D113" i="3"/>
  <c r="I112" i="3"/>
  <c r="G112" i="3"/>
  <c r="I107" i="3"/>
  <c r="H107" i="3"/>
  <c r="D106" i="3"/>
  <c r="C106" i="3"/>
  <c r="B106" i="3"/>
  <c r="I106" i="3" s="1"/>
  <c r="I105" i="3"/>
  <c r="B105" i="3"/>
  <c r="E105" i="3" s="1"/>
  <c r="B104" i="3"/>
  <c r="E104" i="3" s="1"/>
  <c r="D103" i="3"/>
  <c r="C103" i="3"/>
  <c r="B103" i="3"/>
  <c r="I103" i="3" s="1"/>
  <c r="B102" i="3"/>
  <c r="I101" i="3"/>
  <c r="E101" i="3"/>
  <c r="B101" i="3"/>
  <c r="D101" i="3" s="1"/>
  <c r="B100" i="3"/>
  <c r="I100" i="3" s="1"/>
  <c r="B99" i="3"/>
  <c r="I98" i="3"/>
  <c r="F98" i="3"/>
  <c r="E98" i="3"/>
  <c r="B98" i="3"/>
  <c r="D98" i="3" s="1"/>
  <c r="B97" i="3"/>
  <c r="B96" i="3"/>
  <c r="I95" i="3"/>
  <c r="G95" i="3"/>
  <c r="F95" i="3"/>
  <c r="E95" i="3"/>
  <c r="D95" i="3"/>
  <c r="C95" i="3"/>
  <c r="B95" i="3"/>
  <c r="H95" i="3" s="1"/>
  <c r="T94" i="3"/>
  <c r="U94" i="3" s="1"/>
  <c r="V94" i="3" s="1"/>
  <c r="Q94" i="3"/>
  <c r="R94" i="3" s="1"/>
  <c r="S94" i="3" s="1"/>
  <c r="N94" i="3"/>
  <c r="O94" i="3" s="1"/>
  <c r="K94" i="3"/>
  <c r="L94" i="3" s="1"/>
  <c r="M94" i="3" s="1"/>
  <c r="A93" i="3"/>
  <c r="I90" i="3"/>
  <c r="H90" i="3"/>
  <c r="B89" i="3"/>
  <c r="I89" i="3" s="1"/>
  <c r="E88" i="3"/>
  <c r="D88" i="3"/>
  <c r="B88" i="3"/>
  <c r="C88" i="3" s="1"/>
  <c r="H87" i="3"/>
  <c r="B87" i="3"/>
  <c r="B86" i="3"/>
  <c r="B85" i="3"/>
  <c r="B84" i="3"/>
  <c r="I84" i="3" s="1"/>
  <c r="I83" i="3"/>
  <c r="H83" i="3"/>
  <c r="G83" i="3"/>
  <c r="F83" i="3"/>
  <c r="E83" i="3"/>
  <c r="D83" i="3"/>
  <c r="B83" i="3"/>
  <c r="C83" i="3" s="1"/>
  <c r="B82" i="3"/>
  <c r="H82" i="3" s="1"/>
  <c r="B81" i="3"/>
  <c r="C81" i="3" s="1"/>
  <c r="B80" i="3"/>
  <c r="B79" i="3"/>
  <c r="H78" i="3"/>
  <c r="BE7" i="3" s="1"/>
  <c r="G78" i="3"/>
  <c r="F78" i="3"/>
  <c r="E78" i="3"/>
  <c r="D78" i="3"/>
  <c r="B78" i="3"/>
  <c r="C78" i="3" s="1"/>
  <c r="A76" i="3"/>
  <c r="I73" i="3"/>
  <c r="H73" i="3"/>
  <c r="B72" i="3"/>
  <c r="I71" i="3"/>
  <c r="H71" i="3"/>
  <c r="G71" i="3"/>
  <c r="F71" i="3"/>
  <c r="E71" i="3"/>
  <c r="D71" i="3"/>
  <c r="C71" i="3"/>
  <c r="B71" i="3"/>
  <c r="G70" i="3"/>
  <c r="F70" i="3"/>
  <c r="E70" i="3"/>
  <c r="D70" i="3"/>
  <c r="C70" i="3"/>
  <c r="B70" i="3"/>
  <c r="I70" i="3" s="1"/>
  <c r="B69" i="3"/>
  <c r="I69" i="3" s="1"/>
  <c r="B68" i="3"/>
  <c r="E68" i="3" s="1"/>
  <c r="AR67" i="3"/>
  <c r="AQ67" i="3"/>
  <c r="AM67" i="3"/>
  <c r="AL67" i="3"/>
  <c r="AH67" i="3"/>
  <c r="AG67" i="3"/>
  <c r="AC67" i="3"/>
  <c r="AB67" i="3"/>
  <c r="X67" i="3"/>
  <c r="W67" i="3"/>
  <c r="H67" i="3"/>
  <c r="D67" i="3"/>
  <c r="B67" i="3"/>
  <c r="C67" i="3" s="1"/>
  <c r="BD13" i="3" s="1"/>
  <c r="AO66" i="3"/>
  <c r="AM66" i="3"/>
  <c r="AL66" i="3"/>
  <c r="AK66" i="3"/>
  <c r="AY66" i="3" s="1"/>
  <c r="AJ66" i="3"/>
  <c r="AE66" i="3"/>
  <c r="AF66" i="3" s="1"/>
  <c r="Z66" i="3"/>
  <c r="AC66" i="3" s="1"/>
  <c r="U66" i="3"/>
  <c r="X66" i="3" s="1"/>
  <c r="S66" i="3"/>
  <c r="P66" i="3"/>
  <c r="R66" i="3" s="1"/>
  <c r="K66" i="3"/>
  <c r="N66" i="3" s="1"/>
  <c r="G66" i="3"/>
  <c r="F66" i="3"/>
  <c r="E66" i="3"/>
  <c r="D66" i="3"/>
  <c r="C66" i="3"/>
  <c r="B66" i="3"/>
  <c r="I66" i="3" s="1"/>
  <c r="AR65" i="3"/>
  <c r="AO65" i="3"/>
  <c r="AJ65" i="3"/>
  <c r="AE65" i="3"/>
  <c r="AC65" i="3"/>
  <c r="Z65" i="3"/>
  <c r="AB65" i="3" s="1"/>
  <c r="W65" i="3"/>
  <c r="U65" i="3"/>
  <c r="P65" i="3"/>
  <c r="Q65" i="3" s="1"/>
  <c r="K65" i="3"/>
  <c r="D65" i="3"/>
  <c r="C65" i="3"/>
  <c r="BD11" i="3" s="1"/>
  <c r="B65" i="3"/>
  <c r="H65" i="3" s="1"/>
  <c r="AU64" i="3"/>
  <c r="AR64" i="3"/>
  <c r="AQ64" i="3"/>
  <c r="AO64" i="3"/>
  <c r="AP64" i="3" s="1"/>
  <c r="AJ64" i="3"/>
  <c r="AL64" i="3" s="1"/>
  <c r="AE64" i="3"/>
  <c r="AG64" i="3" s="1"/>
  <c r="Z64" i="3"/>
  <c r="AA64" i="3" s="1"/>
  <c r="X64" i="3"/>
  <c r="W64" i="3"/>
  <c r="AV64" i="3" s="1"/>
  <c r="V64" i="3"/>
  <c r="U64" i="3"/>
  <c r="S64" i="3"/>
  <c r="R64" i="3"/>
  <c r="P64" i="3"/>
  <c r="Q64" i="3" s="1"/>
  <c r="K64" i="3"/>
  <c r="B64" i="3"/>
  <c r="I64" i="3" s="1"/>
  <c r="AO63" i="3"/>
  <c r="AJ63" i="3"/>
  <c r="AK63" i="3" s="1"/>
  <c r="AE63" i="3"/>
  <c r="AB63" i="3"/>
  <c r="AA63" i="3"/>
  <c r="Z63" i="3"/>
  <c r="AC63" i="3" s="1"/>
  <c r="U63" i="3"/>
  <c r="P63" i="3"/>
  <c r="K63" i="3"/>
  <c r="N63" i="3" s="1"/>
  <c r="B63" i="3"/>
  <c r="F63" i="3" s="1"/>
  <c r="AY62" i="3"/>
  <c r="AR62" i="3"/>
  <c r="AQ62" i="3"/>
  <c r="AP62" i="3"/>
  <c r="AO62" i="3"/>
  <c r="AL62" i="3"/>
  <c r="AJ62" i="3"/>
  <c r="AK62" i="3" s="1"/>
  <c r="AE62" i="3"/>
  <c r="Z62" i="3"/>
  <c r="AA62" i="3" s="1"/>
  <c r="U62" i="3"/>
  <c r="V62" i="3" s="1"/>
  <c r="Q62" i="3"/>
  <c r="P62" i="3"/>
  <c r="S62" i="3" s="1"/>
  <c r="K62" i="3"/>
  <c r="L62" i="3" s="1"/>
  <c r="B62" i="3"/>
  <c r="D62" i="3" s="1"/>
  <c r="AR61" i="3"/>
  <c r="AQ61" i="3"/>
  <c r="AP61" i="3"/>
  <c r="AO61" i="3"/>
  <c r="AZ61" i="3" s="1"/>
  <c r="AJ61" i="3"/>
  <c r="AL61" i="3" s="1"/>
  <c r="AE61" i="3"/>
  <c r="AF61" i="3" s="1"/>
  <c r="Z61" i="3"/>
  <c r="U61" i="3"/>
  <c r="X61" i="3" s="1"/>
  <c r="S61" i="3"/>
  <c r="R61" i="3"/>
  <c r="P61" i="3"/>
  <c r="Q61" i="3" s="1"/>
  <c r="AU61" i="3" s="1"/>
  <c r="K61" i="3"/>
  <c r="N61" i="3" s="1"/>
  <c r="I61" i="3"/>
  <c r="F61" i="3"/>
  <c r="B61" i="3"/>
  <c r="AX60" i="3"/>
  <c r="AO60" i="3"/>
  <c r="AM60" i="3"/>
  <c r="AL60" i="3"/>
  <c r="AJ60" i="3"/>
  <c r="AK60" i="3" s="1"/>
  <c r="AH60" i="3"/>
  <c r="AG60" i="3"/>
  <c r="AE60" i="3"/>
  <c r="AF60" i="3" s="1"/>
  <c r="Z60" i="3"/>
  <c r="U60" i="3"/>
  <c r="P60" i="3"/>
  <c r="L60" i="3"/>
  <c r="K60" i="3"/>
  <c r="N60" i="3" s="1"/>
  <c r="AZ59" i="3"/>
  <c r="AR59" i="3"/>
  <c r="AQ59" i="3"/>
  <c r="AO59" i="3"/>
  <c r="AP59" i="3" s="1"/>
  <c r="AJ59" i="3"/>
  <c r="AE59" i="3"/>
  <c r="AA59" i="3"/>
  <c r="Z59" i="3"/>
  <c r="AC59" i="3" s="1"/>
  <c r="U59" i="3"/>
  <c r="X59" i="3" s="1"/>
  <c r="P59" i="3"/>
  <c r="Q59" i="3" s="1"/>
  <c r="K59" i="3"/>
  <c r="A59" i="3"/>
  <c r="AO58" i="3"/>
  <c r="AJ58" i="3"/>
  <c r="AK58" i="3" s="1"/>
  <c r="AE58" i="3"/>
  <c r="Z58" i="3"/>
  <c r="AC58" i="3" s="1"/>
  <c r="V58" i="3"/>
  <c r="U58" i="3"/>
  <c r="P58" i="3"/>
  <c r="K58" i="3"/>
  <c r="AR57" i="3"/>
  <c r="AP57" i="3"/>
  <c r="AO57" i="3"/>
  <c r="AJ57" i="3"/>
  <c r="AK57" i="3" s="1"/>
  <c r="AH57" i="3"/>
  <c r="AG57" i="3"/>
  <c r="AE57" i="3"/>
  <c r="AC57" i="3"/>
  <c r="AB57" i="3"/>
  <c r="Z57" i="3"/>
  <c r="AA57" i="3" s="1"/>
  <c r="U57" i="3"/>
  <c r="W57" i="3" s="1"/>
  <c r="P57" i="3"/>
  <c r="K57" i="3"/>
  <c r="L57" i="3" s="1"/>
  <c r="AQ56" i="3"/>
  <c r="AP56" i="3"/>
  <c r="AZ56" i="3" s="1"/>
  <c r="AO56" i="3"/>
  <c r="AR56" i="3" s="1"/>
  <c r="AJ56" i="3"/>
  <c r="AM56" i="3" s="1"/>
  <c r="AE56" i="3"/>
  <c r="AH56" i="3" s="1"/>
  <c r="Z56" i="3"/>
  <c r="V56" i="3"/>
  <c r="U56" i="3"/>
  <c r="X56" i="3" s="1"/>
  <c r="P56" i="3"/>
  <c r="S56" i="3" s="1"/>
  <c r="K56" i="3"/>
  <c r="I56" i="3"/>
  <c r="H56" i="3"/>
  <c r="AP55" i="3"/>
  <c r="AO55" i="3"/>
  <c r="AJ55" i="3"/>
  <c r="AE55" i="3"/>
  <c r="AG55" i="3" s="1"/>
  <c r="Z55" i="3"/>
  <c r="AC55" i="3" s="1"/>
  <c r="U55" i="3"/>
  <c r="V55" i="3" s="1"/>
  <c r="P55" i="3"/>
  <c r="Q55" i="3" s="1"/>
  <c r="K55" i="3"/>
  <c r="I55" i="3"/>
  <c r="H55" i="3"/>
  <c r="E55" i="3"/>
  <c r="B55" i="3"/>
  <c r="D55" i="3" s="1"/>
  <c r="AR54" i="3"/>
  <c r="AQ54" i="3"/>
  <c r="AP54" i="3"/>
  <c r="AO54" i="3"/>
  <c r="AM54" i="3"/>
  <c r="AJ54" i="3"/>
  <c r="AL54" i="3" s="1"/>
  <c r="AE54" i="3"/>
  <c r="AF54" i="3" s="1"/>
  <c r="Z54" i="3"/>
  <c r="AB54" i="3" s="1"/>
  <c r="U54" i="3"/>
  <c r="P54" i="3"/>
  <c r="L54" i="3"/>
  <c r="K54" i="3"/>
  <c r="N54" i="3" s="1"/>
  <c r="I54" i="3"/>
  <c r="H54" i="3"/>
  <c r="G54" i="3"/>
  <c r="F54" i="3"/>
  <c r="E54" i="3"/>
  <c r="D54" i="3"/>
  <c r="B54" i="3"/>
  <c r="C54" i="3" s="1"/>
  <c r="AR53" i="3"/>
  <c r="AQ53" i="3"/>
  <c r="AO53" i="3"/>
  <c r="AP53" i="3" s="1"/>
  <c r="AJ53" i="3"/>
  <c r="AE53" i="3"/>
  <c r="AH53" i="3" s="1"/>
  <c r="Z53" i="3"/>
  <c r="V53" i="3"/>
  <c r="U53" i="3"/>
  <c r="X53" i="3" s="1"/>
  <c r="P53" i="3"/>
  <c r="K53" i="3"/>
  <c r="N53" i="3" s="1"/>
  <c r="B53" i="3"/>
  <c r="I53" i="3" s="1"/>
  <c r="AR52" i="3"/>
  <c r="AQ52" i="3"/>
  <c r="AP52" i="3"/>
  <c r="AO52" i="3"/>
  <c r="AJ52" i="3"/>
  <c r="AK52" i="3" s="1"/>
  <c r="AG52" i="3"/>
  <c r="AE52" i="3"/>
  <c r="Z52" i="3"/>
  <c r="AB52" i="3" s="1"/>
  <c r="U52" i="3"/>
  <c r="X52" i="3" s="1"/>
  <c r="S52" i="3"/>
  <c r="R52" i="3"/>
  <c r="Q52" i="3"/>
  <c r="AU52" i="3" s="1"/>
  <c r="P52" i="3"/>
  <c r="K52" i="3"/>
  <c r="B52" i="3"/>
  <c r="D52" i="3" s="1"/>
  <c r="AO51" i="3"/>
  <c r="AK51" i="3"/>
  <c r="AJ51" i="3"/>
  <c r="AM51" i="3" s="1"/>
  <c r="AE51" i="3"/>
  <c r="AF51" i="3" s="1"/>
  <c r="Z51" i="3"/>
  <c r="AC51" i="3" s="1"/>
  <c r="U51" i="3"/>
  <c r="P51" i="3"/>
  <c r="M51" i="3"/>
  <c r="AT51" i="3" s="1"/>
  <c r="L51" i="3"/>
  <c r="K51" i="3"/>
  <c r="N51" i="3" s="1"/>
  <c r="B51" i="3"/>
  <c r="AW50" i="3"/>
  <c r="AO50" i="3"/>
  <c r="AR50" i="3" s="1"/>
  <c r="AM50" i="3"/>
  <c r="AL50" i="3"/>
  <c r="AJ50" i="3"/>
  <c r="AK50" i="3" s="1"/>
  <c r="AY50" i="3" s="1"/>
  <c r="AE50" i="3"/>
  <c r="AB50" i="3"/>
  <c r="Z50" i="3"/>
  <c r="AA50" i="3" s="1"/>
  <c r="U50" i="3"/>
  <c r="X50" i="3" s="1"/>
  <c r="S50" i="3"/>
  <c r="R50" i="3"/>
  <c r="Q50" i="3"/>
  <c r="P50" i="3"/>
  <c r="M50" i="3"/>
  <c r="L50" i="3"/>
  <c r="K50" i="3"/>
  <c r="N50" i="3" s="1"/>
  <c r="B50" i="3"/>
  <c r="AP49" i="3"/>
  <c r="AO49" i="3"/>
  <c r="AQ49" i="3" s="1"/>
  <c r="AJ49" i="3"/>
  <c r="AH49" i="3"/>
  <c r="AE49" i="3"/>
  <c r="AG49" i="3" s="1"/>
  <c r="Z49" i="3"/>
  <c r="AC49" i="3" s="1"/>
  <c r="U49" i="3"/>
  <c r="V49" i="3" s="1"/>
  <c r="P49" i="3"/>
  <c r="K49" i="3"/>
  <c r="G49" i="3"/>
  <c r="F49" i="3"/>
  <c r="E49" i="3"/>
  <c r="D49" i="3"/>
  <c r="C49" i="3"/>
  <c r="B49" i="3"/>
  <c r="I49" i="3" s="1"/>
  <c r="AR48" i="3"/>
  <c r="AO48" i="3"/>
  <c r="AQ48" i="3" s="1"/>
  <c r="AJ48" i="3"/>
  <c r="AK48" i="3" s="1"/>
  <c r="AE48" i="3"/>
  <c r="AH48" i="3" s="1"/>
  <c r="Z48" i="3"/>
  <c r="X48" i="3"/>
  <c r="W48" i="3"/>
  <c r="U48" i="3"/>
  <c r="V48" i="3" s="1"/>
  <c r="P48" i="3"/>
  <c r="R48" i="3" s="1"/>
  <c r="K48" i="3"/>
  <c r="N48" i="3" s="1"/>
  <c r="H48" i="3"/>
  <c r="B48" i="3"/>
  <c r="G48" i="3" s="1"/>
  <c r="AO47" i="3"/>
  <c r="AM47" i="3"/>
  <c r="AK47" i="3"/>
  <c r="AJ47" i="3"/>
  <c r="AL47" i="3" s="1"/>
  <c r="AE47" i="3"/>
  <c r="Z47" i="3"/>
  <c r="AC47" i="3" s="1"/>
  <c r="X47" i="3"/>
  <c r="W47" i="3"/>
  <c r="V47" i="3"/>
  <c r="U47" i="3"/>
  <c r="Q47" i="3"/>
  <c r="P47" i="3"/>
  <c r="R47" i="3" s="1"/>
  <c r="K47" i="3"/>
  <c r="L47" i="3" s="1"/>
  <c r="F47" i="3"/>
  <c r="E47" i="3"/>
  <c r="D47" i="3"/>
  <c r="C47" i="3"/>
  <c r="B47" i="3"/>
  <c r="I47" i="3" s="1"/>
  <c r="AO46" i="3"/>
  <c r="AR46" i="3" s="1"/>
  <c r="AJ46" i="3"/>
  <c r="AL46" i="3" s="1"/>
  <c r="AE46" i="3"/>
  <c r="AH46" i="3" s="1"/>
  <c r="Z46" i="3"/>
  <c r="U46" i="3"/>
  <c r="V46" i="3" s="1"/>
  <c r="S46" i="3"/>
  <c r="Q46" i="3"/>
  <c r="AU46" i="3" s="1"/>
  <c r="P46" i="3"/>
  <c r="R46" i="3" s="1"/>
  <c r="K46" i="3"/>
  <c r="M46" i="3" s="1"/>
  <c r="B46" i="3"/>
  <c r="I46" i="3" s="1"/>
  <c r="AR45" i="3"/>
  <c r="AQ45" i="3"/>
  <c r="AP45" i="3"/>
  <c r="AO45" i="3"/>
  <c r="AJ45" i="3"/>
  <c r="AF45" i="3"/>
  <c r="AE45" i="3"/>
  <c r="AH45" i="3" s="1"/>
  <c r="Z45" i="3"/>
  <c r="U45" i="3"/>
  <c r="P45" i="3"/>
  <c r="K45" i="3"/>
  <c r="N45" i="3" s="1"/>
  <c r="B45" i="3"/>
  <c r="AO44" i="3"/>
  <c r="AJ44" i="3"/>
  <c r="AH44" i="3"/>
  <c r="AE44" i="3"/>
  <c r="AG44" i="3" s="1"/>
  <c r="Z44" i="3"/>
  <c r="U44" i="3"/>
  <c r="X44" i="3" s="1"/>
  <c r="P44" i="3"/>
  <c r="K44" i="3"/>
  <c r="I44" i="3"/>
  <c r="E44" i="3"/>
  <c r="B44" i="3"/>
  <c r="D44" i="3" s="1"/>
  <c r="AO43" i="3"/>
  <c r="AR43" i="3" s="1"/>
  <c r="AJ43" i="3"/>
  <c r="AK43" i="3" s="1"/>
  <c r="AE43" i="3"/>
  <c r="AB43" i="3"/>
  <c r="Z43" i="3"/>
  <c r="U43" i="3"/>
  <c r="S43" i="3"/>
  <c r="Q43" i="3"/>
  <c r="P43" i="3"/>
  <c r="K43" i="3"/>
  <c r="L43" i="3" s="1"/>
  <c r="AR42" i="3"/>
  <c r="AO42" i="3"/>
  <c r="AQ42" i="3" s="1"/>
  <c r="AJ42" i="3"/>
  <c r="AK42" i="3" s="1"/>
  <c r="AG42" i="3"/>
  <c r="AX42" i="3" s="1"/>
  <c r="AF42" i="3"/>
  <c r="AE42" i="3"/>
  <c r="AH42" i="3" s="1"/>
  <c r="Z42" i="3"/>
  <c r="U42" i="3"/>
  <c r="X42" i="3" s="1"/>
  <c r="P42" i="3"/>
  <c r="K42" i="3"/>
  <c r="A42" i="3"/>
  <c r="AR41" i="3"/>
  <c r="AO41" i="3"/>
  <c r="AQ41" i="3" s="1"/>
  <c r="AM41" i="3"/>
  <c r="AJ41" i="3"/>
  <c r="AL41" i="3" s="1"/>
  <c r="AE41" i="3"/>
  <c r="AC41" i="3"/>
  <c r="Z41" i="3"/>
  <c r="AB41" i="3" s="1"/>
  <c r="U41" i="3"/>
  <c r="P41" i="3"/>
  <c r="Q41" i="3" s="1"/>
  <c r="N41" i="3"/>
  <c r="K41" i="3"/>
  <c r="M41" i="3" s="1"/>
  <c r="AO40" i="3"/>
  <c r="AJ40" i="3"/>
  <c r="AL40" i="3" s="1"/>
  <c r="AE40" i="3"/>
  <c r="AF40" i="3" s="1"/>
  <c r="Z40" i="3"/>
  <c r="X40" i="3"/>
  <c r="U40" i="3"/>
  <c r="W40" i="3" s="1"/>
  <c r="P40" i="3"/>
  <c r="N40" i="3"/>
  <c r="M40" i="3"/>
  <c r="K40" i="3"/>
  <c r="L40" i="3" s="1"/>
  <c r="AP39" i="3"/>
  <c r="AO39" i="3"/>
  <c r="AJ39" i="3"/>
  <c r="AH39" i="3"/>
  <c r="AG39" i="3"/>
  <c r="AE39" i="3"/>
  <c r="Z39" i="3"/>
  <c r="U39" i="3"/>
  <c r="R39" i="3"/>
  <c r="P39" i="3"/>
  <c r="S39" i="3" s="1"/>
  <c r="N39" i="3"/>
  <c r="K39" i="3"/>
  <c r="M39" i="3" s="1"/>
  <c r="AO38" i="3"/>
  <c r="AJ38" i="3"/>
  <c r="AK38" i="3" s="1"/>
  <c r="AE38" i="3"/>
  <c r="AB38" i="3"/>
  <c r="Z38" i="3"/>
  <c r="AA38" i="3" s="1"/>
  <c r="U38" i="3"/>
  <c r="P38" i="3"/>
  <c r="S38" i="3" s="1"/>
  <c r="K38" i="3"/>
  <c r="G38" i="3"/>
  <c r="E38" i="3"/>
  <c r="C38" i="3"/>
  <c r="B38" i="3"/>
  <c r="AR37" i="3"/>
  <c r="AQ37" i="3"/>
  <c r="AP37" i="3"/>
  <c r="AO37" i="3"/>
  <c r="AK37" i="3"/>
  <c r="AJ37" i="3"/>
  <c r="AE37" i="3"/>
  <c r="AC37" i="3"/>
  <c r="Z37" i="3"/>
  <c r="AB37" i="3" s="1"/>
  <c r="U37" i="3"/>
  <c r="X37" i="3" s="1"/>
  <c r="S37" i="3"/>
  <c r="R37" i="3"/>
  <c r="P37" i="3"/>
  <c r="Q37" i="3" s="1"/>
  <c r="K37" i="3"/>
  <c r="L37" i="3" s="1"/>
  <c r="B37" i="3"/>
  <c r="AO36" i="3"/>
  <c r="AJ36" i="3"/>
  <c r="AH36" i="3"/>
  <c r="AG36" i="3"/>
  <c r="AF36" i="3"/>
  <c r="AE36" i="3"/>
  <c r="AX36" i="3" s="1"/>
  <c r="AA36" i="3"/>
  <c r="Z36" i="3"/>
  <c r="AC36" i="3" s="1"/>
  <c r="U36" i="3"/>
  <c r="X36" i="3" s="1"/>
  <c r="P36" i="3"/>
  <c r="K36" i="3"/>
  <c r="B36" i="3"/>
  <c r="AO35" i="3"/>
  <c r="AJ35" i="3"/>
  <c r="AM35" i="3" s="1"/>
  <c r="AE35" i="3"/>
  <c r="Z35" i="3"/>
  <c r="U35" i="3"/>
  <c r="X35" i="3" s="1"/>
  <c r="P35" i="3"/>
  <c r="S35" i="3" s="1"/>
  <c r="K35" i="3"/>
  <c r="N35" i="3" s="1"/>
  <c r="B35" i="3"/>
  <c r="E35" i="3" s="1"/>
  <c r="AR34" i="3"/>
  <c r="AO34" i="3"/>
  <c r="AJ34" i="3"/>
  <c r="AG34" i="3"/>
  <c r="AF34" i="3"/>
  <c r="AE34" i="3"/>
  <c r="AH34" i="3" s="1"/>
  <c r="Z34" i="3"/>
  <c r="U34" i="3"/>
  <c r="P34" i="3"/>
  <c r="K34" i="3"/>
  <c r="G34" i="3"/>
  <c r="E34" i="3"/>
  <c r="C34" i="3"/>
  <c r="B34" i="3"/>
  <c r="AR33" i="3"/>
  <c r="AO33" i="3"/>
  <c r="AQ33" i="3" s="1"/>
  <c r="AJ33" i="3"/>
  <c r="AK33" i="3" s="1"/>
  <c r="AF33" i="3"/>
  <c r="AE33" i="3"/>
  <c r="AH33" i="3" s="1"/>
  <c r="Z33" i="3"/>
  <c r="AA33" i="3" s="1"/>
  <c r="U33" i="3"/>
  <c r="P33" i="3"/>
  <c r="N33" i="3"/>
  <c r="K33" i="3"/>
  <c r="M33" i="3" s="1"/>
  <c r="B33" i="3"/>
  <c r="AO32" i="3"/>
  <c r="AR32" i="3" s="1"/>
  <c r="AJ32" i="3"/>
  <c r="AE32" i="3"/>
  <c r="AF32" i="3" s="1"/>
  <c r="Z32" i="3"/>
  <c r="AB32" i="3" s="1"/>
  <c r="V32" i="3"/>
  <c r="U32" i="3"/>
  <c r="X32" i="3" s="1"/>
  <c r="P32" i="3"/>
  <c r="K32" i="3"/>
  <c r="B32" i="3"/>
  <c r="AZ31" i="3"/>
  <c r="AR31" i="3"/>
  <c r="AQ31" i="3"/>
  <c r="AP31" i="3"/>
  <c r="AO31" i="3"/>
  <c r="AJ31" i="3"/>
  <c r="AE31" i="3"/>
  <c r="AA31" i="3"/>
  <c r="Z31" i="3"/>
  <c r="AC31" i="3" s="1"/>
  <c r="U31" i="3"/>
  <c r="X31" i="3" s="1"/>
  <c r="P31" i="3"/>
  <c r="K31" i="3"/>
  <c r="N31" i="3" s="1"/>
  <c r="B31" i="3"/>
  <c r="G31" i="3" s="1"/>
  <c r="AR30" i="3"/>
  <c r="AQ30" i="3"/>
  <c r="AP30" i="3"/>
  <c r="AO30" i="3"/>
  <c r="AZ30" i="3" s="1"/>
  <c r="AJ30" i="3"/>
  <c r="AH30" i="3"/>
  <c r="AG30" i="3"/>
  <c r="AF30" i="3"/>
  <c r="AE30" i="3"/>
  <c r="Z30" i="3"/>
  <c r="U30" i="3"/>
  <c r="P30" i="3"/>
  <c r="N30" i="3"/>
  <c r="M30" i="3"/>
  <c r="AT30" i="3" s="1"/>
  <c r="L30" i="3"/>
  <c r="K30" i="3"/>
  <c r="B30" i="3"/>
  <c r="AQ29" i="3"/>
  <c r="AP29" i="3"/>
  <c r="AO29" i="3"/>
  <c r="AM29" i="3"/>
  <c r="AL29" i="3"/>
  <c r="AK29" i="3"/>
  <c r="AJ29" i="3"/>
  <c r="AY29" i="3" s="1"/>
  <c r="AE29" i="3"/>
  <c r="AH29" i="3" s="1"/>
  <c r="Z29" i="3"/>
  <c r="AC29" i="3" s="1"/>
  <c r="X29" i="3"/>
  <c r="W29" i="3"/>
  <c r="V29" i="3"/>
  <c r="AV29" i="3" s="1"/>
  <c r="U29" i="3"/>
  <c r="P29" i="3"/>
  <c r="K29" i="3"/>
  <c r="M29" i="3" s="1"/>
  <c r="B29" i="3"/>
  <c r="AZ28" i="3"/>
  <c r="AR28" i="3"/>
  <c r="AQ28" i="3"/>
  <c r="AP28" i="3"/>
  <c r="AO28" i="3"/>
  <c r="AM28" i="3"/>
  <c r="AL28" i="3"/>
  <c r="AK28" i="3"/>
  <c r="AJ28" i="3"/>
  <c r="AE28" i="3"/>
  <c r="AH28" i="3" s="1"/>
  <c r="AA28" i="3"/>
  <c r="Z28" i="3"/>
  <c r="U28" i="3"/>
  <c r="R28" i="3"/>
  <c r="P28" i="3"/>
  <c r="S28" i="3" s="1"/>
  <c r="K28" i="3"/>
  <c r="B28" i="3"/>
  <c r="G28" i="3" s="1"/>
  <c r="AR27" i="3"/>
  <c r="AQ27" i="3"/>
  <c r="AP27" i="3"/>
  <c r="AO27" i="3"/>
  <c r="AJ27" i="3"/>
  <c r="AH27" i="3"/>
  <c r="AE27" i="3"/>
  <c r="AG27" i="3" s="1"/>
  <c r="Z27" i="3"/>
  <c r="AC27" i="3" s="1"/>
  <c r="U27" i="3"/>
  <c r="P27" i="3"/>
  <c r="K27" i="3"/>
  <c r="N27" i="3" s="1"/>
  <c r="B27" i="3"/>
  <c r="AP26" i="3"/>
  <c r="AO26" i="3"/>
  <c r="AM26" i="3"/>
  <c r="AJ26" i="3"/>
  <c r="AL26" i="3" s="1"/>
  <c r="AE26" i="3"/>
  <c r="AH26" i="3" s="1"/>
  <c r="AC26" i="3"/>
  <c r="AB26" i="3"/>
  <c r="AA26" i="3"/>
  <c r="Z26" i="3"/>
  <c r="W26" i="3"/>
  <c r="U26" i="3"/>
  <c r="P26" i="3"/>
  <c r="K26" i="3"/>
  <c r="AQ25" i="3"/>
  <c r="AO25" i="3"/>
  <c r="AJ25" i="3"/>
  <c r="AE25" i="3"/>
  <c r="Z25" i="3"/>
  <c r="W25" i="3"/>
  <c r="V25" i="3"/>
  <c r="U25" i="3"/>
  <c r="X25" i="3" s="1"/>
  <c r="P25" i="3"/>
  <c r="K25" i="3"/>
  <c r="A25" i="3"/>
  <c r="AQ24" i="3"/>
  <c r="AP24" i="3"/>
  <c r="AO24" i="3"/>
  <c r="AM24" i="3"/>
  <c r="AL24" i="3"/>
  <c r="AK24" i="3"/>
  <c r="AJ24" i="3"/>
  <c r="AY24" i="3" s="1"/>
  <c r="AH24" i="3"/>
  <c r="AE24" i="3"/>
  <c r="Z24" i="3"/>
  <c r="AA24" i="3" s="1"/>
  <c r="X24" i="3"/>
  <c r="W24" i="3"/>
  <c r="V24" i="3"/>
  <c r="U24" i="3"/>
  <c r="P24" i="3"/>
  <c r="K24" i="3"/>
  <c r="M24" i="3" s="1"/>
  <c r="AR23" i="3"/>
  <c r="AO23" i="3"/>
  <c r="AJ23" i="3"/>
  <c r="AF23" i="3"/>
  <c r="AE23" i="3"/>
  <c r="AC23" i="3"/>
  <c r="AB23" i="3"/>
  <c r="AA23" i="3"/>
  <c r="Z23" i="3"/>
  <c r="U23" i="3"/>
  <c r="P23" i="3"/>
  <c r="K23" i="3"/>
  <c r="AQ22" i="3"/>
  <c r="AO22" i="3"/>
  <c r="AJ22" i="3"/>
  <c r="AE22" i="3"/>
  <c r="AH22" i="3" s="1"/>
  <c r="AC22" i="3"/>
  <c r="AB22" i="3"/>
  <c r="AA22" i="3"/>
  <c r="Z22" i="3"/>
  <c r="U22" i="3"/>
  <c r="V22" i="3" s="1"/>
  <c r="P22" i="3"/>
  <c r="S22" i="3" s="1"/>
  <c r="K22" i="3"/>
  <c r="L22" i="3" s="1"/>
  <c r="AO21" i="3"/>
  <c r="AJ21" i="3"/>
  <c r="AM21" i="3" s="1"/>
  <c r="AE21" i="3"/>
  <c r="Z21" i="3"/>
  <c r="W21" i="3"/>
  <c r="U21" i="3"/>
  <c r="X21" i="3" s="1"/>
  <c r="P21" i="3"/>
  <c r="K21" i="3"/>
  <c r="B21" i="3"/>
  <c r="AO20" i="3"/>
  <c r="AM20" i="3"/>
  <c r="AK20" i="3"/>
  <c r="AJ20" i="3"/>
  <c r="AL20" i="3" s="1"/>
  <c r="AY20" i="3" s="1"/>
  <c r="AE20" i="3"/>
  <c r="AH20" i="3" s="1"/>
  <c r="Z20" i="3"/>
  <c r="U20" i="3"/>
  <c r="V20" i="3" s="1"/>
  <c r="P20" i="3"/>
  <c r="M20" i="3"/>
  <c r="K20" i="3"/>
  <c r="N20" i="3" s="1"/>
  <c r="B20" i="3"/>
  <c r="AR19" i="3"/>
  <c r="AQ19" i="3"/>
  <c r="AP19" i="3"/>
  <c r="AO19" i="3"/>
  <c r="AZ19" i="3" s="1"/>
  <c r="AJ19" i="3"/>
  <c r="AM19" i="3" s="1"/>
  <c r="AE19" i="3"/>
  <c r="Z19" i="3"/>
  <c r="W19" i="3"/>
  <c r="U19" i="3"/>
  <c r="X19" i="3" s="1"/>
  <c r="Q19" i="3"/>
  <c r="P19" i="3"/>
  <c r="M19" i="3"/>
  <c r="K19" i="3"/>
  <c r="B19" i="3"/>
  <c r="AR18" i="3"/>
  <c r="AQ18" i="3"/>
  <c r="AP18" i="3"/>
  <c r="AO18" i="3"/>
  <c r="AZ18" i="3" s="1"/>
  <c r="AJ18" i="3"/>
  <c r="AE18" i="3"/>
  <c r="Z18" i="3"/>
  <c r="U18" i="3"/>
  <c r="R18" i="3"/>
  <c r="P18" i="3"/>
  <c r="S18" i="3" s="1"/>
  <c r="B18" i="3"/>
  <c r="BD17" i="3"/>
  <c r="AR17" i="3"/>
  <c r="AQ17" i="3"/>
  <c r="AP17" i="3"/>
  <c r="AO17" i="3"/>
  <c r="AJ17" i="3"/>
  <c r="AE17" i="3"/>
  <c r="AF17" i="3" s="1"/>
  <c r="AC17" i="3"/>
  <c r="Z17" i="3"/>
  <c r="AB17" i="3" s="1"/>
  <c r="U17" i="3"/>
  <c r="P17" i="3"/>
  <c r="E17" i="3"/>
  <c r="B17" i="3"/>
  <c r="C17" i="3" s="1"/>
  <c r="AR16" i="3"/>
  <c r="AO16" i="3"/>
  <c r="AJ16" i="3"/>
  <c r="AE16" i="3"/>
  <c r="AF16" i="3" s="1"/>
  <c r="AC16" i="3"/>
  <c r="AB16" i="3"/>
  <c r="AA16" i="3"/>
  <c r="Z16" i="3"/>
  <c r="V16" i="3"/>
  <c r="U16" i="3"/>
  <c r="X16" i="3" s="1"/>
  <c r="P16" i="3"/>
  <c r="Q16" i="3" s="1"/>
  <c r="G16" i="3"/>
  <c r="C16" i="3"/>
  <c r="B16" i="3"/>
  <c r="E16" i="3" s="1"/>
  <c r="AR15" i="3"/>
  <c r="AQ15" i="3"/>
  <c r="AP15" i="3"/>
  <c r="AO15" i="3"/>
  <c r="AZ15" i="3" s="1"/>
  <c r="AJ15" i="3"/>
  <c r="AM15" i="3" s="1"/>
  <c r="AE15" i="3"/>
  <c r="AH15" i="3" s="1"/>
  <c r="AC15" i="3"/>
  <c r="AA15" i="3"/>
  <c r="Z15" i="3"/>
  <c r="U15" i="3"/>
  <c r="V15" i="3" s="1"/>
  <c r="P15" i="3"/>
  <c r="S15" i="3" s="1"/>
  <c r="B15" i="3"/>
  <c r="C15" i="3" s="1"/>
  <c r="AZ14" i="3"/>
  <c r="AR14" i="3"/>
  <c r="AQ14" i="3"/>
  <c r="AP14" i="3"/>
  <c r="AO14" i="3"/>
  <c r="AM14" i="3"/>
  <c r="AL14" i="3"/>
  <c r="AK14" i="3"/>
  <c r="AJ14" i="3"/>
  <c r="AF14" i="3"/>
  <c r="AE14" i="3"/>
  <c r="AH14" i="3" s="1"/>
  <c r="Z14" i="3"/>
  <c r="AC14" i="3" s="1"/>
  <c r="U14" i="3"/>
  <c r="P14" i="3"/>
  <c r="B14" i="3"/>
  <c r="AR13" i="3"/>
  <c r="AO13" i="3"/>
  <c r="AQ13" i="3" s="1"/>
  <c r="AJ13" i="3"/>
  <c r="AM13" i="3" s="1"/>
  <c r="AE13" i="3"/>
  <c r="AC13" i="3"/>
  <c r="AB13" i="3"/>
  <c r="AA13" i="3"/>
  <c r="AW13" i="3" s="1"/>
  <c r="Z13" i="3"/>
  <c r="U13" i="3"/>
  <c r="X13" i="3" s="1"/>
  <c r="P13" i="3"/>
  <c r="S13" i="3" s="1"/>
  <c r="G13" i="3"/>
  <c r="E13" i="3"/>
  <c r="C13" i="3"/>
  <c r="B13" i="3"/>
  <c r="AO12" i="3"/>
  <c r="AJ12" i="3"/>
  <c r="AK12" i="3" s="1"/>
  <c r="AE12" i="3"/>
  <c r="AC12" i="3"/>
  <c r="Z12" i="3"/>
  <c r="AB12" i="3" s="1"/>
  <c r="U12" i="3"/>
  <c r="X12" i="3" s="1"/>
  <c r="P12" i="3"/>
  <c r="E12" i="3"/>
  <c r="B12" i="3"/>
  <c r="AO11" i="3"/>
  <c r="AJ11" i="3"/>
  <c r="AM11" i="3" s="1"/>
  <c r="AH11" i="3"/>
  <c r="AG11" i="3"/>
  <c r="AF11" i="3"/>
  <c r="AE11" i="3"/>
  <c r="AX11" i="3" s="1"/>
  <c r="Z11" i="3"/>
  <c r="U11" i="3"/>
  <c r="X11" i="3" s="1"/>
  <c r="P11" i="3"/>
  <c r="Q11" i="3" s="1"/>
  <c r="E11" i="3"/>
  <c r="B11" i="3"/>
  <c r="AO10" i="3"/>
  <c r="AJ10" i="3"/>
  <c r="AM10" i="3" s="1"/>
  <c r="AE10" i="3"/>
  <c r="Z10" i="3"/>
  <c r="AC10" i="3" s="1"/>
  <c r="U10" i="3"/>
  <c r="B10" i="3"/>
  <c r="AR9" i="3"/>
  <c r="AQ9" i="3"/>
  <c r="AP9" i="3"/>
  <c r="AO9" i="3"/>
  <c r="AZ9" i="3" s="1"/>
  <c r="AJ9" i="3"/>
  <c r="AL9" i="3" s="1"/>
  <c r="AH9" i="3"/>
  <c r="AE9" i="3"/>
  <c r="AG9" i="3" s="1"/>
  <c r="Z9" i="3"/>
  <c r="U9" i="3"/>
  <c r="W9" i="3" s="1"/>
  <c r="AO8" i="3"/>
  <c r="AJ8" i="3"/>
  <c r="AL8" i="3" s="1"/>
  <c r="AH8" i="3"/>
  <c r="AF8" i="3"/>
  <c r="AE8" i="3"/>
  <c r="AG8" i="3" s="1"/>
  <c r="AX8" i="3" s="1"/>
  <c r="Z8" i="3"/>
  <c r="U8" i="3"/>
  <c r="X8" i="3" s="1"/>
  <c r="P8" i="3"/>
  <c r="A8" i="3"/>
  <c r="BF7" i="3"/>
  <c r="AQ7" i="3"/>
  <c r="AZ7" i="3" s="1"/>
  <c r="AP7" i="3"/>
  <c r="AO7" i="3"/>
  <c r="AR7" i="3" s="1"/>
  <c r="AJ7" i="3"/>
  <c r="AE7" i="3"/>
  <c r="AB7" i="3"/>
  <c r="AA7" i="3"/>
  <c r="AW7" i="3" s="1"/>
  <c r="Z7" i="3"/>
  <c r="AC7" i="3" s="1"/>
  <c r="X7" i="3"/>
  <c r="V7" i="3"/>
  <c r="U7" i="3"/>
  <c r="W7" i="3" s="1"/>
  <c r="P7" i="3"/>
  <c r="R7" i="3" s="1"/>
  <c r="K7" i="3"/>
  <c r="AO5" i="3"/>
  <c r="AJ5" i="3"/>
  <c r="AE5" i="3"/>
  <c r="Z5" i="3"/>
  <c r="U5" i="3"/>
  <c r="P5" i="3"/>
  <c r="K5" i="3"/>
  <c r="I36" i="1"/>
  <c r="H36" i="1"/>
  <c r="I35" i="1"/>
  <c r="H35" i="1"/>
  <c r="I34" i="1"/>
  <c r="H34" i="1"/>
  <c r="I33" i="1"/>
  <c r="H33" i="1"/>
  <c r="E37" i="3"/>
  <c r="I28" i="1"/>
  <c r="H28" i="1"/>
  <c r="I27" i="1"/>
  <c r="H27" i="1"/>
  <c r="I26" i="1"/>
  <c r="H26" i="1"/>
  <c r="I25" i="1"/>
  <c r="H25" i="1"/>
  <c r="I24" i="1"/>
  <c r="H24" i="1"/>
  <c r="J18" i="1"/>
  <c r="I18" i="1"/>
  <c r="H18" i="1"/>
  <c r="E18" i="1"/>
  <c r="D18" i="1"/>
  <c r="J17" i="1"/>
  <c r="I17" i="1"/>
  <c r="H17" i="1"/>
  <c r="E17" i="1"/>
  <c r="D17" i="1"/>
  <c r="J16" i="1"/>
  <c r="I16" i="1"/>
  <c r="H16" i="1"/>
  <c r="E16" i="1"/>
  <c r="D16" i="1"/>
  <c r="E15" i="1"/>
  <c r="I15" i="1" s="1"/>
  <c r="D15" i="1"/>
  <c r="I14" i="1"/>
  <c r="H14" i="1"/>
  <c r="J14" i="1" s="1"/>
  <c r="E14" i="1"/>
  <c r="D14" i="1"/>
  <c r="E13" i="1"/>
  <c r="H13" i="1" s="1"/>
  <c r="D13" i="1"/>
  <c r="I12" i="1"/>
  <c r="H12" i="1"/>
  <c r="J12" i="1" s="1"/>
  <c r="E12" i="1"/>
  <c r="D12" i="1"/>
  <c r="H6" i="1"/>
  <c r="A6" i="1"/>
  <c r="A8" i="1" s="1"/>
  <c r="BC12" i="3" l="1"/>
  <c r="H52" i="3"/>
  <c r="I62" i="3"/>
  <c r="I65" i="3"/>
  <c r="G69" i="3"/>
  <c r="G17" i="3"/>
  <c r="I52" i="3"/>
  <c r="C46" i="3"/>
  <c r="BC9" i="3" s="1"/>
  <c r="D68" i="3"/>
  <c r="D82" i="3"/>
  <c r="D46" i="3"/>
  <c r="E82" i="3"/>
  <c r="C28" i="3"/>
  <c r="E46" i="3"/>
  <c r="C62" i="3"/>
  <c r="BD8" i="3" s="1"/>
  <c r="E63" i="3"/>
  <c r="F82" i="3"/>
  <c r="E100" i="3"/>
  <c r="F46" i="3"/>
  <c r="E62" i="3"/>
  <c r="E65" i="3"/>
  <c r="C69" i="3"/>
  <c r="G82" i="3"/>
  <c r="F84" i="3"/>
  <c r="F88" i="3"/>
  <c r="E103" i="3"/>
  <c r="E106" i="3"/>
  <c r="C31" i="3"/>
  <c r="G46" i="3"/>
  <c r="H49" i="3"/>
  <c r="E52" i="3"/>
  <c r="D53" i="3"/>
  <c r="F62" i="3"/>
  <c r="F65" i="3"/>
  <c r="D69" i="3"/>
  <c r="H70" i="3"/>
  <c r="BD16" i="3" s="1"/>
  <c r="I78" i="3"/>
  <c r="H84" i="3"/>
  <c r="G88" i="3"/>
  <c r="C44" i="3"/>
  <c r="H46" i="3"/>
  <c r="C48" i="3"/>
  <c r="BC11" i="3" s="1"/>
  <c r="F52" i="3"/>
  <c r="G62" i="3"/>
  <c r="G65" i="3"/>
  <c r="E69" i="3"/>
  <c r="BE12" i="3"/>
  <c r="H88" i="3"/>
  <c r="BE17" i="3" s="1"/>
  <c r="C101" i="3"/>
  <c r="G52" i="3"/>
  <c r="BC17" i="3"/>
  <c r="H62" i="3"/>
  <c r="F69" i="3"/>
  <c r="I88" i="3"/>
  <c r="AA53" i="3"/>
  <c r="AC53" i="3"/>
  <c r="N55" i="3"/>
  <c r="M55" i="3"/>
  <c r="L55" i="3"/>
  <c r="AG21" i="3"/>
  <c r="AH21" i="3"/>
  <c r="AC46" i="3"/>
  <c r="AB46" i="3"/>
  <c r="AH19" i="3"/>
  <c r="R33" i="3"/>
  <c r="S33" i="3"/>
  <c r="AM9" i="3"/>
  <c r="AB10" i="3"/>
  <c r="AY14" i="3"/>
  <c r="Q15" i="3"/>
  <c r="AG19" i="3"/>
  <c r="AL23" i="3"/>
  <c r="AM23" i="3"/>
  <c r="AK23" i="3"/>
  <c r="N26" i="3"/>
  <c r="M26" i="3"/>
  <c r="L28" i="3"/>
  <c r="N28" i="3"/>
  <c r="M28" i="3"/>
  <c r="AT28" i="3" s="1"/>
  <c r="AC40" i="3"/>
  <c r="AB40" i="3"/>
  <c r="AA40" i="3"/>
  <c r="AW40" i="3" s="1"/>
  <c r="AG41" i="3"/>
  <c r="AH41" i="3"/>
  <c r="AF41" i="3"/>
  <c r="AV47" i="3"/>
  <c r="AF21" i="3"/>
  <c r="AX21" i="3" s="1"/>
  <c r="AG15" i="3"/>
  <c r="R42" i="3"/>
  <c r="S42" i="3"/>
  <c r="R57" i="3"/>
  <c r="S57" i="3"/>
  <c r="Q13" i="3"/>
  <c r="R15" i="3"/>
  <c r="W20" i="3"/>
  <c r="AV20" i="3" s="1"/>
  <c r="L26" i="3"/>
  <c r="AT26" i="3" s="1"/>
  <c r="AL39" i="3"/>
  <c r="AM39" i="3"/>
  <c r="R45" i="3"/>
  <c r="S45" i="3"/>
  <c r="N95" i="3"/>
  <c r="O95" i="3" s="1"/>
  <c r="P95" i="3" s="1"/>
  <c r="P94" i="3"/>
  <c r="S27" i="3"/>
  <c r="R27" i="3"/>
  <c r="AU41" i="3"/>
  <c r="AA46" i="3"/>
  <c r="AW46" i="3" s="1"/>
  <c r="AH31" i="3"/>
  <c r="AG31" i="3"/>
  <c r="AH38" i="3"/>
  <c r="AG38" i="3"/>
  <c r="AF55" i="3"/>
  <c r="AX55" i="3" s="1"/>
  <c r="AH55" i="3"/>
  <c r="AY60" i="3"/>
  <c r="AV7" i="3"/>
  <c r="AM8" i="3"/>
  <c r="R13" i="3"/>
  <c r="N36" i="3"/>
  <c r="M36" i="3"/>
  <c r="Q45" i="3"/>
  <c r="X58" i="3"/>
  <c r="W58" i="3"/>
  <c r="AV58" i="3" s="1"/>
  <c r="AG65" i="3"/>
  <c r="AF65" i="3"/>
  <c r="AH65" i="3"/>
  <c r="M32" i="3"/>
  <c r="AT32" i="3" s="1"/>
  <c r="N32" i="3"/>
  <c r="L32" i="3"/>
  <c r="Q27" i="3"/>
  <c r="AL44" i="3"/>
  <c r="AM44" i="3"/>
  <c r="AK44" i="3"/>
  <c r="AY44" i="3" s="1"/>
  <c r="AH17" i="3"/>
  <c r="AG17" i="3"/>
  <c r="AF31" i="3"/>
  <c r="AX31" i="3" s="1"/>
  <c r="Q57" i="3"/>
  <c r="AU57" i="3" s="1"/>
  <c r="S19" i="3"/>
  <c r="R19" i="3"/>
  <c r="AU19" i="3"/>
  <c r="W23" i="3"/>
  <c r="V23" i="3"/>
  <c r="AV23" i="3" s="1"/>
  <c r="X23" i="3"/>
  <c r="L36" i="3"/>
  <c r="AT36" i="3" s="1"/>
  <c r="L38" i="3"/>
  <c r="AT38" i="3" s="1"/>
  <c r="N38" i="3"/>
  <c r="X60" i="3"/>
  <c r="V60" i="3"/>
  <c r="AA10" i="3"/>
  <c r="AF19" i="3"/>
  <c r="AX19" i="3" s="1"/>
  <c r="N22" i="3"/>
  <c r="M22" i="3"/>
  <c r="AT22" i="3" s="1"/>
  <c r="Q17" i="3"/>
  <c r="S17" i="3"/>
  <c r="R17" i="3"/>
  <c r="AF18" i="3"/>
  <c r="AH18" i="3"/>
  <c r="AW22" i="3"/>
  <c r="AB34" i="3"/>
  <c r="AC34" i="3"/>
  <c r="AA34" i="3"/>
  <c r="M38" i="3"/>
  <c r="V63" i="3"/>
  <c r="X63" i="3"/>
  <c r="W63" i="3"/>
  <c r="AV63" i="3" s="1"/>
  <c r="AW25" i="3"/>
  <c r="Q7" i="3"/>
  <c r="AF10" i="3"/>
  <c r="AX10" i="3" s="1"/>
  <c r="AK11" i="3"/>
  <c r="V12" i="3"/>
  <c r="AK13" i="3"/>
  <c r="AB14" i="3"/>
  <c r="AK15" i="3"/>
  <c r="AY15" i="3" s="1"/>
  <c r="AF20" i="3"/>
  <c r="AX20" i="3" s="1"/>
  <c r="AB24" i="3"/>
  <c r="AW24" i="3" s="1"/>
  <c r="AB25" i="3"/>
  <c r="AF26" i="3"/>
  <c r="AG28" i="3"/>
  <c r="AA29" i="3"/>
  <c r="R30" i="3"/>
  <c r="W37" i="3"/>
  <c r="Q38" i="3"/>
  <c r="AU38" i="3" s="1"/>
  <c r="AL38" i="3"/>
  <c r="AY38" i="3" s="1"/>
  <c r="AW39" i="3"/>
  <c r="R41" i="3"/>
  <c r="N43" i="3"/>
  <c r="AL43" i="3"/>
  <c r="AY43" i="3" s="1"/>
  <c r="N46" i="3"/>
  <c r="AA47" i="3"/>
  <c r="AF48" i="3"/>
  <c r="AX48" i="3" s="1"/>
  <c r="AA49" i="3"/>
  <c r="AG51" i="3"/>
  <c r="AX51" i="3" s="1"/>
  <c r="AK55" i="3"/>
  <c r="AY55" i="3" s="1"/>
  <c r="Q56" i="3"/>
  <c r="X57" i="3"/>
  <c r="S59" i="3"/>
  <c r="M62" i="3"/>
  <c r="AT62" i="3" s="1"/>
  <c r="AC62" i="3"/>
  <c r="S65" i="3"/>
  <c r="AA66" i="3"/>
  <c r="AU65" i="3"/>
  <c r="AF28" i="3"/>
  <c r="AX28" i="3" s="1"/>
  <c r="Q30" i="3"/>
  <c r="AU30" i="3" s="1"/>
  <c r="V37" i="3"/>
  <c r="R65" i="3"/>
  <c r="X9" i="3"/>
  <c r="AG10" i="3"/>
  <c r="V11" i="3"/>
  <c r="AV11" i="3" s="1"/>
  <c r="AL11" i="3"/>
  <c r="W12" i="3"/>
  <c r="AV12" i="3" s="1"/>
  <c r="V13" i="3"/>
  <c r="AL13" i="3"/>
  <c r="AL15" i="3"/>
  <c r="AK19" i="3"/>
  <c r="AG20" i="3"/>
  <c r="AK21" i="3"/>
  <c r="Q22" i="3"/>
  <c r="AU22" i="3" s="1"/>
  <c r="AC24" i="3"/>
  <c r="AC25" i="3"/>
  <c r="AV26" i="3"/>
  <c r="AG26" i="3"/>
  <c r="AX26" i="3" s="1"/>
  <c r="AY26" i="3"/>
  <c r="AB29" i="3"/>
  <c r="S30" i="3"/>
  <c r="L35" i="3"/>
  <c r="AK35" i="3"/>
  <c r="AU37" i="3"/>
  <c r="R38" i="3"/>
  <c r="AM38" i="3"/>
  <c r="AA39" i="3"/>
  <c r="AT40" i="3"/>
  <c r="AG40" i="3"/>
  <c r="AX40" i="3" s="1"/>
  <c r="S41" i="3"/>
  <c r="AM43" i="3"/>
  <c r="V44" i="3"/>
  <c r="AF46" i="3"/>
  <c r="AB47" i="3"/>
  <c r="AG48" i="3"/>
  <c r="AB49" i="3"/>
  <c r="AH51" i="3"/>
  <c r="AC52" i="3"/>
  <c r="AG54" i="3"/>
  <c r="AX54" i="3" s="1"/>
  <c r="AL55" i="3"/>
  <c r="R56" i="3"/>
  <c r="AU56" i="3" s="1"/>
  <c r="AW57" i="3"/>
  <c r="AG61" i="3"/>
  <c r="AX61" i="3"/>
  <c r="N62" i="3"/>
  <c r="AF64" i="3"/>
  <c r="AX64" i="3" s="1"/>
  <c r="L66" i="3"/>
  <c r="AB66" i="3"/>
  <c r="AH10" i="3"/>
  <c r="W11" i="3"/>
  <c r="W13" i="3"/>
  <c r="Q18" i="3"/>
  <c r="V19" i="3"/>
  <c r="AV19" i="3" s="1"/>
  <c r="AL19" i="3"/>
  <c r="AY19" i="3" s="1"/>
  <c r="L20" i="3"/>
  <c r="V21" i="3"/>
  <c r="AV21" i="3" s="1"/>
  <c r="AL21" i="3"/>
  <c r="AY21" i="3" s="1"/>
  <c r="R22" i="3"/>
  <c r="V26" i="3"/>
  <c r="Q28" i="3"/>
  <c r="AU28" i="3" s="1"/>
  <c r="M35" i="3"/>
  <c r="AL35" i="3"/>
  <c r="AY35" i="3" s="1"/>
  <c r="AB39" i="3"/>
  <c r="AH40" i="3"/>
  <c r="W44" i="3"/>
  <c r="AT50" i="3"/>
  <c r="AH54" i="3"/>
  <c r="AM55" i="3"/>
  <c r="AH61" i="3"/>
  <c r="AH64" i="3"/>
  <c r="T95" i="3"/>
  <c r="U95" i="3" s="1"/>
  <c r="T96" i="3" s="1"/>
  <c r="U96" i="3" s="1"/>
  <c r="M43" i="3"/>
  <c r="AT43" i="3" s="1"/>
  <c r="AC54" i="3"/>
  <c r="AX14" i="3"/>
  <c r="AV16" i="3"/>
  <c r="AU18" i="3"/>
  <c r="AC39" i="3"/>
  <c r="AW59" i="3"/>
  <c r="AT60" i="3"/>
  <c r="AU62" i="3"/>
  <c r="AF9" i="3"/>
  <c r="AX9" i="3" s="1"/>
  <c r="AA12" i="3"/>
  <c r="AG14" i="3"/>
  <c r="AB15" i="3"/>
  <c r="AW15" i="3" s="1"/>
  <c r="W16" i="3"/>
  <c r="AA17" i="3"/>
  <c r="AW17" i="3" s="1"/>
  <c r="AV24" i="3"/>
  <c r="X26" i="3"/>
  <c r="AK26" i="3"/>
  <c r="L27" i="3"/>
  <c r="AT27" i="3" s="1"/>
  <c r="AF27" i="3"/>
  <c r="AX27" i="3" s="1"/>
  <c r="AY28" i="3"/>
  <c r="AB31" i="3"/>
  <c r="W32" i="3"/>
  <c r="AV32" i="3" s="1"/>
  <c r="L33" i="3"/>
  <c r="AT33" i="3" s="1"/>
  <c r="AG33" i="3"/>
  <c r="AX33" i="3" s="1"/>
  <c r="AB36" i="3"/>
  <c r="AW36" i="3" s="1"/>
  <c r="AM40" i="3"/>
  <c r="AA41" i="3"/>
  <c r="AW41" i="3" s="1"/>
  <c r="L45" i="3"/>
  <c r="AT45" i="3" s="1"/>
  <c r="AG45" i="3"/>
  <c r="AX45" i="3" s="1"/>
  <c r="AM46" i="3"/>
  <c r="S48" i="3"/>
  <c r="AL48" i="3"/>
  <c r="AY48" i="3" s="1"/>
  <c r="AF49" i="3"/>
  <c r="AL51" i="3"/>
  <c r="AY51" i="3" s="1"/>
  <c r="M54" i="3"/>
  <c r="AT54" i="3" s="1"/>
  <c r="AK54" i="3"/>
  <c r="AY54" i="3" s="1"/>
  <c r="AB55" i="3"/>
  <c r="W56" i="3"/>
  <c r="AV56" i="3" s="1"/>
  <c r="AX57" i="3"/>
  <c r="AL58" i="3"/>
  <c r="AY58" i="3" s="1"/>
  <c r="AB59" i="3"/>
  <c r="M60" i="3"/>
  <c r="AK61" i="3"/>
  <c r="R62" i="3"/>
  <c r="AM62" i="3"/>
  <c r="M63" i="3"/>
  <c r="AM64" i="3"/>
  <c r="AA65" i="3"/>
  <c r="AW65" i="3" s="1"/>
  <c r="Q66" i="3"/>
  <c r="AA25" i="3"/>
  <c r="AW26" i="3"/>
  <c r="M27" i="3"/>
  <c r="M45" i="3"/>
  <c r="AM48" i="3"/>
  <c r="AF57" i="3"/>
  <c r="AM58" i="3"/>
  <c r="H15" i="1"/>
  <c r="J15" i="1" s="1"/>
  <c r="G20" i="3"/>
  <c r="E20" i="3"/>
  <c r="C20" i="3"/>
  <c r="AM18" i="3"/>
  <c r="AK18" i="3"/>
  <c r="R23" i="3"/>
  <c r="I50" i="3"/>
  <c r="H50" i="3"/>
  <c r="C50" i="3"/>
  <c r="G50" i="3"/>
  <c r="F50" i="3"/>
  <c r="E50" i="3"/>
  <c r="D50" i="3"/>
  <c r="G51" i="3"/>
  <c r="F51" i="3"/>
  <c r="E51" i="3"/>
  <c r="H51" i="3"/>
  <c r="I51" i="3"/>
  <c r="D51" i="3"/>
  <c r="C51" i="3"/>
  <c r="AL18" i="3"/>
  <c r="R21" i="3"/>
  <c r="S21" i="3"/>
  <c r="Q21" i="3"/>
  <c r="AU21" i="3" s="1"/>
  <c r="Q23" i="3"/>
  <c r="AU23" i="3" s="1"/>
  <c r="E10" i="3"/>
  <c r="D10" i="3"/>
  <c r="C10" i="3"/>
  <c r="G10" i="3" s="1"/>
  <c r="C11" i="3"/>
  <c r="G11" i="3" s="1"/>
  <c r="AC11" i="3"/>
  <c r="AA11" i="3"/>
  <c r="AW11" i="3" s="1"/>
  <c r="AB11" i="3"/>
  <c r="S12" i="3"/>
  <c r="R12" i="3"/>
  <c r="Q12" i="3"/>
  <c r="AU12" i="3" s="1"/>
  <c r="AM16" i="3"/>
  <c r="AL16" i="3"/>
  <c r="AK16" i="3"/>
  <c r="AY16" i="3" s="1"/>
  <c r="AX17" i="3"/>
  <c r="AT19" i="3"/>
  <c r="N19" i="3"/>
  <c r="L19" i="3"/>
  <c r="AC19" i="3"/>
  <c r="AB19" i="3"/>
  <c r="AA19" i="3"/>
  <c r="AW19" i="3" s="1"/>
  <c r="S23" i="3"/>
  <c r="AL25" i="3"/>
  <c r="AK25" i="3"/>
  <c r="AY25" i="3" s="1"/>
  <c r="AM25" i="3"/>
  <c r="D27" i="3"/>
  <c r="C27" i="3"/>
  <c r="G27" i="3"/>
  <c r="E27" i="3"/>
  <c r="F27" i="3"/>
  <c r="H27" i="3" s="1"/>
  <c r="N42" i="3"/>
  <c r="M42" i="3"/>
  <c r="L42" i="3"/>
  <c r="AT42" i="3" s="1"/>
  <c r="AR12" i="3"/>
  <c r="AQ12" i="3"/>
  <c r="R14" i="3"/>
  <c r="S14" i="3"/>
  <c r="AP16" i="3"/>
  <c r="AZ16" i="3" s="1"/>
  <c r="AQ16" i="3"/>
  <c r="S25" i="3"/>
  <c r="R25" i="3"/>
  <c r="Q25" i="3"/>
  <c r="AU25" i="3" s="1"/>
  <c r="AP12" i="3"/>
  <c r="AZ12" i="3" s="1"/>
  <c r="AU20" i="3"/>
  <c r="S20" i="3"/>
  <c r="R20" i="3"/>
  <c r="Q20" i="3"/>
  <c r="AM22" i="3"/>
  <c r="AL22" i="3"/>
  <c r="AK22" i="3"/>
  <c r="AY22" i="3" s="1"/>
  <c r="S36" i="3"/>
  <c r="R36" i="3"/>
  <c r="Q36" i="3"/>
  <c r="AU36" i="3" s="1"/>
  <c r="X39" i="3"/>
  <c r="W39" i="3"/>
  <c r="V39" i="3"/>
  <c r="AM45" i="3"/>
  <c r="AL45" i="3"/>
  <c r="AK45" i="3"/>
  <c r="AY45" i="3" s="1"/>
  <c r="R53" i="3"/>
  <c r="S53" i="3"/>
  <c r="Q53" i="3"/>
  <c r="AU53" i="3" s="1"/>
  <c r="X18" i="3"/>
  <c r="V18" i="3"/>
  <c r="N24" i="3"/>
  <c r="L24" i="3"/>
  <c r="AT24" i="3" s="1"/>
  <c r="AZ43" i="3"/>
  <c r="AQ43" i="3"/>
  <c r="AP43" i="3"/>
  <c r="AR44" i="3"/>
  <c r="AQ44" i="3"/>
  <c r="AP44" i="3"/>
  <c r="AZ44" i="3"/>
  <c r="AK7" i="3"/>
  <c r="Q8" i="3"/>
  <c r="P9" i="3" s="1"/>
  <c r="Q14" i="3"/>
  <c r="AU14" i="3" s="1"/>
  <c r="AC8" i="3"/>
  <c r="AB8" i="3"/>
  <c r="AC9" i="3"/>
  <c r="AB9" i="3"/>
  <c r="AA9" i="3"/>
  <c r="AW9" i="3" s="1"/>
  <c r="AR10" i="3"/>
  <c r="AQ10" i="3"/>
  <c r="AZ10" i="3" s="1"/>
  <c r="AP10" i="3"/>
  <c r="G15" i="3"/>
  <c r="W18" i="3"/>
  <c r="AV18" i="3"/>
  <c r="AA21" i="3"/>
  <c r="AC21" i="3"/>
  <c r="AB21" i="3"/>
  <c r="X30" i="3"/>
  <c r="W30" i="3"/>
  <c r="V30" i="3"/>
  <c r="Q31" i="3"/>
  <c r="S31" i="3"/>
  <c r="R31" i="3"/>
  <c r="AC42" i="3"/>
  <c r="AB42" i="3"/>
  <c r="AA42" i="3"/>
  <c r="AW42" i="3"/>
  <c r="N44" i="3"/>
  <c r="M44" i="3"/>
  <c r="L44" i="3"/>
  <c r="AT44" i="3" s="1"/>
  <c r="W51" i="3"/>
  <c r="X51" i="3"/>
  <c r="V51" i="3"/>
  <c r="AV51" i="3" s="1"/>
  <c r="AR8" i="3"/>
  <c r="AQ8" i="3"/>
  <c r="AZ8" i="3" s="1"/>
  <c r="AP8" i="3"/>
  <c r="AA8" i="3"/>
  <c r="AW8" i="3" s="1"/>
  <c r="X10" i="3"/>
  <c r="V10" i="3"/>
  <c r="W10" i="3"/>
  <c r="V17" i="3"/>
  <c r="X17" i="3"/>
  <c r="W17" i="3"/>
  <c r="AM27" i="3"/>
  <c r="AL27" i="3"/>
  <c r="AK27" i="3"/>
  <c r="X28" i="3"/>
  <c r="W28" i="3"/>
  <c r="V28" i="3"/>
  <c r="AK32" i="3"/>
  <c r="AM32" i="3"/>
  <c r="AL32" i="3"/>
  <c r="S34" i="3"/>
  <c r="R34" i="3"/>
  <c r="AU34" i="3"/>
  <c r="Q34" i="3"/>
  <c r="AR38" i="3"/>
  <c r="AZ38" i="3"/>
  <c r="AQ38" i="3"/>
  <c r="AP38" i="3"/>
  <c r="AL7" i="3"/>
  <c r="AM7" i="3"/>
  <c r="I13" i="1"/>
  <c r="J13" i="1"/>
  <c r="AZ21" i="3"/>
  <c r="N29" i="3"/>
  <c r="L29" i="3"/>
  <c r="AT29" i="3" s="1"/>
  <c r="AH7" i="3"/>
  <c r="AG7" i="3"/>
  <c r="AF7" i="3"/>
  <c r="AV10" i="3"/>
  <c r="AY11" i="3"/>
  <c r="AH13" i="3"/>
  <c r="AG13" i="3"/>
  <c r="AX13" i="3" s="1"/>
  <c r="AF13" i="3"/>
  <c r="E21" i="3"/>
  <c r="C21" i="3"/>
  <c r="G21" i="3" s="1"/>
  <c r="S32" i="3"/>
  <c r="R32" i="3"/>
  <c r="Q32" i="3"/>
  <c r="AU32" i="3" s="1"/>
  <c r="S26" i="3"/>
  <c r="R26" i="3"/>
  <c r="G29" i="3"/>
  <c r="E29" i="3"/>
  <c r="C29" i="3"/>
  <c r="AC30" i="3"/>
  <c r="AB30" i="3"/>
  <c r="AA30" i="3"/>
  <c r="AW30" i="3" s="1"/>
  <c r="E33" i="3"/>
  <c r="X33" i="3"/>
  <c r="W33" i="3"/>
  <c r="Q35" i="3"/>
  <c r="AU35" i="3" s="1"/>
  <c r="X38" i="3"/>
  <c r="W38" i="3"/>
  <c r="AV38" i="3" s="1"/>
  <c r="V38" i="3"/>
  <c r="S44" i="3"/>
  <c r="R44" i="3"/>
  <c r="Q44" i="3"/>
  <c r="AU44" i="3" s="1"/>
  <c r="AR47" i="3"/>
  <c r="AQ47" i="3"/>
  <c r="N52" i="3"/>
  <c r="M52" i="3"/>
  <c r="AT52" i="3" s="1"/>
  <c r="L52" i="3"/>
  <c r="AM53" i="3"/>
  <c r="AL53" i="3"/>
  <c r="AK53" i="3"/>
  <c r="AY53" i="3" s="1"/>
  <c r="L64" i="3"/>
  <c r="N64" i="3"/>
  <c r="M64" i="3"/>
  <c r="AU7" i="3"/>
  <c r="S7" i="3"/>
  <c r="R8" i="3" s="1"/>
  <c r="AW12" i="3"/>
  <c r="E15" i="3"/>
  <c r="X15" i="3"/>
  <c r="W15" i="3"/>
  <c r="AV15" i="3" s="1"/>
  <c r="AW16" i="3"/>
  <c r="E18" i="3"/>
  <c r="C18" i="3"/>
  <c r="G18" i="3" s="1"/>
  <c r="X22" i="3"/>
  <c r="W22" i="3"/>
  <c r="AV22" i="3" s="1"/>
  <c r="AR22" i="3"/>
  <c r="AP22" i="3"/>
  <c r="AZ22" i="3" s="1"/>
  <c r="AH23" i="3"/>
  <c r="AG23" i="3"/>
  <c r="AX23" i="3" s="1"/>
  <c r="AR24" i="3"/>
  <c r="AZ24" i="3"/>
  <c r="AP25" i="3"/>
  <c r="AZ25" i="3" s="1"/>
  <c r="Q26" i="3"/>
  <c r="AU26" i="3"/>
  <c r="AC28" i="3"/>
  <c r="AB28" i="3"/>
  <c r="AW28" i="3" s="1"/>
  <c r="AW29" i="3"/>
  <c r="AR29" i="3"/>
  <c r="AZ29" i="3"/>
  <c r="AX30" i="3"/>
  <c r="C33" i="3"/>
  <c r="V33" i="3"/>
  <c r="AV33" i="3" s="1"/>
  <c r="C35" i="3"/>
  <c r="R35" i="3"/>
  <c r="AR35" i="3"/>
  <c r="AQ35" i="3"/>
  <c r="AP35" i="3"/>
  <c r="AZ35" i="3" s="1"/>
  <c r="AW38" i="3"/>
  <c r="AC38" i="3"/>
  <c r="S40" i="3"/>
  <c r="R40" i="3"/>
  <c r="Q40" i="3"/>
  <c r="AA43" i="3"/>
  <c r="AW43" i="3" s="1"/>
  <c r="AP47" i="3"/>
  <c r="AX49" i="3"/>
  <c r="AH62" i="3"/>
  <c r="AG62" i="3"/>
  <c r="AF62" i="3"/>
  <c r="AX62" i="3" s="1"/>
  <c r="AR25" i="3"/>
  <c r="G33" i="3"/>
  <c r="N34" i="3"/>
  <c r="M34" i="3"/>
  <c r="L34" i="3"/>
  <c r="AT34" i="3" s="1"/>
  <c r="AM36" i="3"/>
  <c r="AL36" i="3"/>
  <c r="AR39" i="3"/>
  <c r="AZ39" i="3"/>
  <c r="AC43" i="3"/>
  <c r="AC48" i="3"/>
  <c r="AB48" i="3"/>
  <c r="AA48" i="3"/>
  <c r="AW48" i="3" s="1"/>
  <c r="R49" i="3"/>
  <c r="Q49" i="3"/>
  <c r="AU49" i="3" s="1"/>
  <c r="G80" i="3"/>
  <c r="F80" i="3"/>
  <c r="E80" i="3"/>
  <c r="I80" i="3"/>
  <c r="D80" i="3"/>
  <c r="C80" i="3"/>
  <c r="V36" i="3"/>
  <c r="AK36" i="3"/>
  <c r="X41" i="3"/>
  <c r="W41" i="3"/>
  <c r="AH43" i="3"/>
  <c r="AG43" i="3"/>
  <c r="AF43" i="3"/>
  <c r="S49" i="3"/>
  <c r="AH50" i="3"/>
  <c r="AG50" i="3"/>
  <c r="AF50" i="3"/>
  <c r="AZ55" i="3"/>
  <c r="H80" i="3"/>
  <c r="AH12" i="3"/>
  <c r="AG12" i="3"/>
  <c r="AF12" i="3"/>
  <c r="W36" i="3"/>
  <c r="AM49" i="3"/>
  <c r="AL49" i="3"/>
  <c r="AK49" i="3"/>
  <c r="AY49" i="3" s="1"/>
  <c r="AU58" i="3"/>
  <c r="S58" i="3"/>
  <c r="R58" i="3"/>
  <c r="Q58" i="3"/>
  <c r="AH63" i="3"/>
  <c r="AG63" i="3"/>
  <c r="AF63" i="3"/>
  <c r="AX63" i="3"/>
  <c r="V96" i="3"/>
  <c r="T97" i="3"/>
  <c r="U97" i="3" s="1"/>
  <c r="AY10" i="3"/>
  <c r="AM30" i="3"/>
  <c r="AL30" i="3"/>
  <c r="AK30" i="3"/>
  <c r="AY30" i="3" s="1"/>
  <c r="X34" i="3"/>
  <c r="V34" i="3"/>
  <c r="AC35" i="3"/>
  <c r="AB35" i="3"/>
  <c r="AA35" i="3"/>
  <c r="AQ39" i="3"/>
  <c r="V41" i="3"/>
  <c r="V8" i="3"/>
  <c r="AK10" i="3"/>
  <c r="AR11" i="3"/>
  <c r="AQ11" i="3"/>
  <c r="C14" i="3"/>
  <c r="R16" i="3"/>
  <c r="AU16" i="3" s="1"/>
  <c r="AM17" i="3"/>
  <c r="AL17" i="3"/>
  <c r="AC18" i="3"/>
  <c r="AB18" i="3"/>
  <c r="AA18" i="3"/>
  <c r="E19" i="3"/>
  <c r="AC20" i="3"/>
  <c r="AR20" i="3"/>
  <c r="AQ20" i="3"/>
  <c r="L21" i="3"/>
  <c r="AQ21" i="3"/>
  <c r="AR21" i="3"/>
  <c r="S24" i="3"/>
  <c r="R24" i="3"/>
  <c r="Q24" i="3"/>
  <c r="AU24" i="3" s="1"/>
  <c r="X27" i="3"/>
  <c r="W27" i="3"/>
  <c r="S29" i="3"/>
  <c r="R29" i="3"/>
  <c r="Q29" i="3"/>
  <c r="AU29" i="3" s="1"/>
  <c r="E30" i="3"/>
  <c r="E31" i="3"/>
  <c r="V31" i="3"/>
  <c r="AL31" i="3"/>
  <c r="AK31" i="3"/>
  <c r="AY31" i="3" s="1"/>
  <c r="E32" i="3"/>
  <c r="C32" i="3"/>
  <c r="G32" i="3" s="1"/>
  <c r="AP32" i="3"/>
  <c r="AZ32" i="3" s="1"/>
  <c r="W34" i="3"/>
  <c r="AV34" i="3" s="1"/>
  <c r="AH35" i="3"/>
  <c r="AG35" i="3"/>
  <c r="AF35" i="3"/>
  <c r="AX35" i="3" s="1"/>
  <c r="C36" i="3"/>
  <c r="G36" i="3" s="1"/>
  <c r="V42" i="3"/>
  <c r="AL42" i="3"/>
  <c r="AY42" i="3" s="1"/>
  <c r="E45" i="3"/>
  <c r="D45" i="3"/>
  <c r="C45" i="3"/>
  <c r="BC8" i="3"/>
  <c r="I45" i="3"/>
  <c r="H45" i="3"/>
  <c r="X45" i="3"/>
  <c r="W45" i="3"/>
  <c r="V45" i="3"/>
  <c r="AV45" i="3" s="1"/>
  <c r="AP46" i="3"/>
  <c r="AZ46" i="3" s="1"/>
  <c r="AH47" i="3"/>
  <c r="AG47" i="3"/>
  <c r="AF47" i="3"/>
  <c r="AR58" i="3"/>
  <c r="AQ58" i="3"/>
  <c r="AP58" i="3"/>
  <c r="AZ58" i="3" s="1"/>
  <c r="S60" i="3"/>
  <c r="R60" i="3"/>
  <c r="Q60" i="3"/>
  <c r="AU60" i="3" s="1"/>
  <c r="S63" i="3"/>
  <c r="R63" i="3"/>
  <c r="Q63" i="3"/>
  <c r="AU63" i="3" s="1"/>
  <c r="V95" i="3"/>
  <c r="X20" i="3"/>
  <c r="N37" i="3"/>
  <c r="M37" i="3"/>
  <c r="W8" i="3"/>
  <c r="AK8" i="3"/>
  <c r="AY8" i="3" s="1"/>
  <c r="V9" i="3"/>
  <c r="AV9" i="3" s="1"/>
  <c r="AK9" i="3"/>
  <c r="AY9" i="3" s="1"/>
  <c r="AL10" i="3"/>
  <c r="AP11" i="3"/>
  <c r="C12" i="3"/>
  <c r="AL12" i="3"/>
  <c r="AY12" i="3" s="1"/>
  <c r="AP13" i="3"/>
  <c r="AZ13" i="3" s="1"/>
  <c r="X14" i="3"/>
  <c r="W14" i="3"/>
  <c r="V14" i="3"/>
  <c r="S16" i="3"/>
  <c r="AG16" i="3"/>
  <c r="AX16" i="3" s="1"/>
  <c r="AK17" i="3"/>
  <c r="AY17" i="3" s="1"/>
  <c r="C19" i="3"/>
  <c r="AA20" i="3"/>
  <c r="AW20" i="3" s="1"/>
  <c r="AP20" i="3"/>
  <c r="AZ20" i="3" s="1"/>
  <c r="M21" i="3"/>
  <c r="AP21" i="3"/>
  <c r="AF22" i="3"/>
  <c r="AX22" i="3" s="1"/>
  <c r="M23" i="3"/>
  <c r="L23" i="3"/>
  <c r="AT23" i="3" s="1"/>
  <c r="AP23" i="3"/>
  <c r="AZ23" i="3" s="1"/>
  <c r="M25" i="3"/>
  <c r="L25" i="3"/>
  <c r="AT25" i="3" s="1"/>
  <c r="V27" i="3"/>
  <c r="E28" i="3"/>
  <c r="C30" i="3"/>
  <c r="G30" i="3" s="1"/>
  <c r="W31" i="3"/>
  <c r="AM31" i="3"/>
  <c r="AC32" i="3"/>
  <c r="AQ32" i="3"/>
  <c r="AP34" i="3"/>
  <c r="AZ34" i="3" s="1"/>
  <c r="AH37" i="3"/>
  <c r="AG37" i="3"/>
  <c r="W42" i="3"/>
  <c r="AM42" i="3"/>
  <c r="F45" i="3"/>
  <c r="AC45" i="3"/>
  <c r="AB45" i="3"/>
  <c r="AA45" i="3"/>
  <c r="AQ46" i="3"/>
  <c r="E36" i="3"/>
  <c r="AT37" i="3"/>
  <c r="AC44" i="3"/>
  <c r="AB44" i="3"/>
  <c r="AA44" i="3"/>
  <c r="X49" i="3"/>
  <c r="W49" i="3"/>
  <c r="AV49" i="3" s="1"/>
  <c r="L7" i="3"/>
  <c r="S11" i="3"/>
  <c r="R11" i="3"/>
  <c r="AU11" i="3"/>
  <c r="AM12" i="3"/>
  <c r="AU13" i="3"/>
  <c r="E14" i="3"/>
  <c r="AA14" i="3"/>
  <c r="AW14" i="3" s="1"/>
  <c r="AF15" i="3"/>
  <c r="AH16" i="3"/>
  <c r="AZ17" i="3"/>
  <c r="AG18" i="3"/>
  <c r="G19" i="3"/>
  <c r="AT20" i="3"/>
  <c r="AB20" i="3"/>
  <c r="N21" i="3"/>
  <c r="AG22" i="3"/>
  <c r="N23" i="3"/>
  <c r="AW23" i="3"/>
  <c r="AQ23" i="3"/>
  <c r="N25" i="3"/>
  <c r="AH25" i="3"/>
  <c r="AG25" i="3"/>
  <c r="AX25" i="3" s="1"/>
  <c r="AF25" i="3"/>
  <c r="AR26" i="3"/>
  <c r="AQ26" i="3"/>
  <c r="AZ26" i="3"/>
  <c r="AA32" i="3"/>
  <c r="AW32" i="3" s="1"/>
  <c r="AM33" i="3"/>
  <c r="AL33" i="3"/>
  <c r="AY33" i="3" s="1"/>
  <c r="AQ34" i="3"/>
  <c r="AF37" i="3"/>
  <c r="G45" i="3"/>
  <c r="S51" i="3"/>
  <c r="R51" i="3"/>
  <c r="Q51" i="3"/>
  <c r="AU51" i="3"/>
  <c r="AF52" i="3"/>
  <c r="AX52" i="3" s="1"/>
  <c r="AH52" i="3"/>
  <c r="AF53" i="3"/>
  <c r="AG53" i="3"/>
  <c r="AM34" i="3"/>
  <c r="AL34" i="3"/>
  <c r="AY34" i="3" s="1"/>
  <c r="AK34" i="3"/>
  <c r="AZ37" i="3"/>
  <c r="AR40" i="3"/>
  <c r="AQ40" i="3"/>
  <c r="AP40" i="3"/>
  <c r="AX41" i="3"/>
  <c r="X43" i="3"/>
  <c r="W43" i="3"/>
  <c r="V43" i="3"/>
  <c r="H44" i="3"/>
  <c r="BC7" i="3" s="1"/>
  <c r="G44" i="3"/>
  <c r="F44" i="3"/>
  <c r="X46" i="3"/>
  <c r="W46" i="3"/>
  <c r="AV46" i="3" s="1"/>
  <c r="F48" i="3"/>
  <c r="E48" i="3"/>
  <c r="D48" i="3"/>
  <c r="I48" i="3"/>
  <c r="AZ49" i="3"/>
  <c r="AU50" i="3"/>
  <c r="AT55" i="3"/>
  <c r="R54" i="3"/>
  <c r="I81" i="3"/>
  <c r="H81" i="3"/>
  <c r="BE10" i="3" s="1"/>
  <c r="G81" i="3"/>
  <c r="F81" i="3"/>
  <c r="E81" i="3"/>
  <c r="G85" i="3"/>
  <c r="F85" i="3"/>
  <c r="E85" i="3"/>
  <c r="I85" i="3"/>
  <c r="H85" i="3"/>
  <c r="D85" i="3"/>
  <c r="C85" i="3"/>
  <c r="BE14" i="3" s="1"/>
  <c r="Q54" i="3"/>
  <c r="AU54" i="3" s="1"/>
  <c r="AR60" i="3"/>
  <c r="AQ60" i="3"/>
  <c r="AP60" i="3"/>
  <c r="AZ60" i="3" s="1"/>
  <c r="AR63" i="3"/>
  <c r="AQ63" i="3"/>
  <c r="F72" i="3"/>
  <c r="E72" i="3"/>
  <c r="D72" i="3"/>
  <c r="H72" i="3"/>
  <c r="G72" i="3"/>
  <c r="I86" i="3"/>
  <c r="H86" i="3"/>
  <c r="G86" i="3"/>
  <c r="D86" i="3"/>
  <c r="H99" i="3"/>
  <c r="G99" i="3"/>
  <c r="F99" i="3"/>
  <c r="I99" i="3"/>
  <c r="E99" i="3"/>
  <c r="D99" i="3"/>
  <c r="C99" i="3"/>
  <c r="AM52" i="3"/>
  <c r="AL52" i="3"/>
  <c r="AY52" i="3" s="1"/>
  <c r="C53" i="3"/>
  <c r="E53" i="3"/>
  <c r="E56" i="3" s="1"/>
  <c r="AZ53" i="3"/>
  <c r="S54" i="3"/>
  <c r="AC56" i="3"/>
  <c r="AB56" i="3"/>
  <c r="AC60" i="3"/>
  <c r="AB60" i="3"/>
  <c r="AP63" i="3"/>
  <c r="C72" i="3"/>
  <c r="D81" i="3"/>
  <c r="C86" i="3"/>
  <c r="L56" i="3"/>
  <c r="N56" i="3"/>
  <c r="AA56" i="3"/>
  <c r="AW56" i="3" s="1"/>
  <c r="AH59" i="3"/>
  <c r="AA60" i="3"/>
  <c r="I72" i="3"/>
  <c r="E86" i="3"/>
  <c r="H102" i="3"/>
  <c r="G102" i="3"/>
  <c r="F102" i="3"/>
  <c r="I102" i="3"/>
  <c r="E102" i="3"/>
  <c r="D102" i="3"/>
  <c r="L48" i="3"/>
  <c r="AT48" i="3" s="1"/>
  <c r="W54" i="3"/>
  <c r="AG24" i="3"/>
  <c r="AF24" i="3"/>
  <c r="AG29" i="3"/>
  <c r="AF29" i="3"/>
  <c r="AX29" i="3" s="1"/>
  <c r="AW31" i="3"/>
  <c r="AX34" i="3"/>
  <c r="AT35" i="3"/>
  <c r="AY40" i="3"/>
  <c r="M48" i="3"/>
  <c r="AV48" i="3"/>
  <c r="AR49" i="3"/>
  <c r="AP50" i="3"/>
  <c r="AZ50" i="3" s="1"/>
  <c r="AA51" i="3"/>
  <c r="AW51" i="3" s="1"/>
  <c r="AR51" i="3"/>
  <c r="AQ51" i="3"/>
  <c r="AP51" i="3"/>
  <c r="V52" i="3"/>
  <c r="AV52" i="3" s="1"/>
  <c r="AZ52" i="3"/>
  <c r="F53" i="3"/>
  <c r="W53" i="3"/>
  <c r="V54" i="3"/>
  <c r="M56" i="3"/>
  <c r="N59" i="3"/>
  <c r="M59" i="3"/>
  <c r="L59" i="3"/>
  <c r="AT59" i="3" s="1"/>
  <c r="AF59" i="3"/>
  <c r="AX59" i="3" s="1"/>
  <c r="E61" i="3"/>
  <c r="D61" i="3"/>
  <c r="C61" i="3"/>
  <c r="G61" i="3"/>
  <c r="V61" i="3"/>
  <c r="X65" i="3"/>
  <c r="V65" i="3"/>
  <c r="AV65" i="3" s="1"/>
  <c r="AR66" i="3"/>
  <c r="AQ66" i="3"/>
  <c r="F86" i="3"/>
  <c r="K95" i="3"/>
  <c r="L95" i="3" s="1"/>
  <c r="C102" i="3"/>
  <c r="BF14" i="3" s="1"/>
  <c r="H104" i="3"/>
  <c r="G104" i="3"/>
  <c r="F104" i="3"/>
  <c r="I104" i="3"/>
  <c r="M47" i="3"/>
  <c r="AT47" i="3" s="1"/>
  <c r="W55" i="3"/>
  <c r="AV55" i="3" s="1"/>
  <c r="X55" i="3"/>
  <c r="AV25" i="3"/>
  <c r="AZ27" i="3"/>
  <c r="M31" i="3"/>
  <c r="L31" i="3"/>
  <c r="AH32" i="3"/>
  <c r="AG32" i="3"/>
  <c r="AX32" i="3" s="1"/>
  <c r="V40" i="3"/>
  <c r="AV40" i="3" s="1"/>
  <c r="AK40" i="3"/>
  <c r="AZ40" i="3"/>
  <c r="AP41" i="3"/>
  <c r="AZ41" i="3" s="1"/>
  <c r="AZ45" i="3"/>
  <c r="N47" i="3"/>
  <c r="AQ50" i="3"/>
  <c r="AB51" i="3"/>
  <c r="W52" i="3"/>
  <c r="G53" i="3"/>
  <c r="X54" i="3"/>
  <c r="AH58" i="3"/>
  <c r="AG58" i="3"/>
  <c r="AF58" i="3"/>
  <c r="AX58" i="3" s="1"/>
  <c r="AG59" i="3"/>
  <c r="W61" i="3"/>
  <c r="AP65" i="3"/>
  <c r="AZ65" i="3"/>
  <c r="AP66" i="3"/>
  <c r="AZ66" i="3" s="1"/>
  <c r="H68" i="3"/>
  <c r="G68" i="3"/>
  <c r="F68" i="3"/>
  <c r="I68" i="3"/>
  <c r="I87" i="3"/>
  <c r="C87" i="3"/>
  <c r="BE16" i="3" s="1"/>
  <c r="G87" i="3"/>
  <c r="F87" i="3"/>
  <c r="E87" i="3"/>
  <c r="H97" i="3"/>
  <c r="G97" i="3"/>
  <c r="I97" i="3"/>
  <c r="F97" i="3"/>
  <c r="E97" i="3"/>
  <c r="D97" i="3"/>
  <c r="C104" i="3"/>
  <c r="AB27" i="3"/>
  <c r="AA27" i="3"/>
  <c r="AC33" i="3"/>
  <c r="AB33" i="3"/>
  <c r="AW33" i="3" s="1"/>
  <c r="AR36" i="3"/>
  <c r="AQ36" i="3"/>
  <c r="AP36" i="3"/>
  <c r="AZ36" i="3" s="1"/>
  <c r="AY37" i="3"/>
  <c r="AM37" i="3"/>
  <c r="AL37" i="3"/>
  <c r="AF38" i="3"/>
  <c r="AX38" i="3"/>
  <c r="Q39" i="3"/>
  <c r="AU39" i="3" s="1"/>
  <c r="AF39" i="3"/>
  <c r="AX39" i="3" s="1"/>
  <c r="R43" i="3"/>
  <c r="AU43" i="3" s="1"/>
  <c r="AG46" i="3"/>
  <c r="AX46" i="3" s="1"/>
  <c r="AU47" i="3"/>
  <c r="S47" i="3"/>
  <c r="AY47" i="3"/>
  <c r="N49" i="3"/>
  <c r="M49" i="3"/>
  <c r="L49" i="3"/>
  <c r="AT49" i="3" s="1"/>
  <c r="AC50" i="3"/>
  <c r="H53" i="3"/>
  <c r="AV53" i="3"/>
  <c r="AZ54" i="3"/>
  <c r="AA55" i="3"/>
  <c r="AW55" i="3" s="1"/>
  <c r="AR55" i="3"/>
  <c r="AQ55" i="3"/>
  <c r="AK56" i="3"/>
  <c r="AL56" i="3"/>
  <c r="R59" i="3"/>
  <c r="AU59" i="3" s="1"/>
  <c r="H61" i="3"/>
  <c r="AZ62" i="3"/>
  <c r="AZ63" i="3"/>
  <c r="AQ65" i="3"/>
  <c r="C68" i="3"/>
  <c r="BD14" i="3" s="1"/>
  <c r="E79" i="3"/>
  <c r="D79" i="3"/>
  <c r="C79" i="3"/>
  <c r="G79" i="3"/>
  <c r="G90" i="3" s="1"/>
  <c r="I79" i="3"/>
  <c r="H79" i="3"/>
  <c r="F79" i="3"/>
  <c r="D87" i="3"/>
  <c r="Q95" i="3"/>
  <c r="R95" i="3" s="1"/>
  <c r="C97" i="3"/>
  <c r="BF9" i="3" s="1"/>
  <c r="D104" i="3"/>
  <c r="N57" i="3"/>
  <c r="M57" i="3"/>
  <c r="AT57" i="3" s="1"/>
  <c r="AY61" i="3"/>
  <c r="AM61" i="3"/>
  <c r="L63" i="3"/>
  <c r="AT63" i="3" s="1"/>
  <c r="AW63" i="3"/>
  <c r="AC64" i="3"/>
  <c r="AB64" i="3"/>
  <c r="AW64" i="3" s="1"/>
  <c r="AM65" i="3"/>
  <c r="AL65" i="3"/>
  <c r="AK65" i="3"/>
  <c r="AY65" i="3" s="1"/>
  <c r="G67" i="3"/>
  <c r="F67" i="3"/>
  <c r="E67" i="3"/>
  <c r="I67" i="3"/>
  <c r="E84" i="3"/>
  <c r="D84" i="3"/>
  <c r="C84" i="3"/>
  <c r="BE13" i="3" s="1"/>
  <c r="G84" i="3"/>
  <c r="N96" i="3"/>
  <c r="O96" i="3" s="1"/>
  <c r="AZ33" i="3"/>
  <c r="G47" i="3"/>
  <c r="AZ48" i="3"/>
  <c r="L58" i="3"/>
  <c r="AT58" i="3" s="1"/>
  <c r="I63" i="3"/>
  <c r="H63" i="3"/>
  <c r="G63" i="3"/>
  <c r="F64" i="3"/>
  <c r="E64" i="3"/>
  <c r="D64" i="3"/>
  <c r="H64" i="3"/>
  <c r="N65" i="3"/>
  <c r="M65" i="3"/>
  <c r="L65" i="3"/>
  <c r="H96" i="3"/>
  <c r="G96" i="3"/>
  <c r="E96" i="3"/>
  <c r="D96" i="3"/>
  <c r="C96" i="3"/>
  <c r="I96" i="3"/>
  <c r="Q33" i="3"/>
  <c r="AU33" i="3" s="1"/>
  <c r="AP33" i="3"/>
  <c r="V35" i="3"/>
  <c r="C37" i="3"/>
  <c r="AA37" i="3"/>
  <c r="AW37" i="3" s="1"/>
  <c r="L39" i="3"/>
  <c r="AT39" i="3" s="1"/>
  <c r="AK39" i="3"/>
  <c r="L41" i="3"/>
  <c r="AT41" i="3" s="1"/>
  <c r="AK41" i="3"/>
  <c r="AY41" i="3" s="1"/>
  <c r="Q42" i="3"/>
  <c r="AP42" i="3"/>
  <c r="AZ42" i="3" s="1"/>
  <c r="AF44" i="3"/>
  <c r="AX44" i="3" s="1"/>
  <c r="L46" i="3"/>
  <c r="AT46" i="3" s="1"/>
  <c r="AK46" i="3"/>
  <c r="AY46" i="3" s="1"/>
  <c r="H47" i="3"/>
  <c r="BC10" i="3" s="1"/>
  <c r="Q48" i="3"/>
  <c r="AU48" i="3" s="1"/>
  <c r="AP48" i="3"/>
  <c r="V50" i="3"/>
  <c r="AV50" i="3" s="1"/>
  <c r="C52" i="3"/>
  <c r="BC15" i="3" s="1"/>
  <c r="AA52" i="3"/>
  <c r="AW52" i="3" s="1"/>
  <c r="L53" i="3"/>
  <c r="AA54" i="3"/>
  <c r="AW54" i="3" s="1"/>
  <c r="G55" i="3"/>
  <c r="F55" i="3"/>
  <c r="S55" i="3"/>
  <c r="R55" i="3"/>
  <c r="AU55" i="3" s="1"/>
  <c r="V57" i="3"/>
  <c r="AV57" i="3" s="1"/>
  <c r="AM57" i="3"/>
  <c r="AL57" i="3"/>
  <c r="AY57" i="3" s="1"/>
  <c r="M58" i="3"/>
  <c r="AA58" i="3"/>
  <c r="V59" i="3"/>
  <c r="AM59" i="3"/>
  <c r="AL59" i="3"/>
  <c r="AK59" i="3"/>
  <c r="AY59" i="3" s="1"/>
  <c r="L61" i="3"/>
  <c r="AT61" i="3" s="1"/>
  <c r="AC61" i="3"/>
  <c r="AB61" i="3"/>
  <c r="AA61" i="3"/>
  <c r="X62" i="3"/>
  <c r="W62" i="3"/>
  <c r="AV62" i="3" s="1"/>
  <c r="C63" i="3"/>
  <c r="BD9" i="3" s="1"/>
  <c r="AL63" i="3"/>
  <c r="AY63" i="3" s="1"/>
  <c r="C64" i="3"/>
  <c r="AK64" i="3"/>
  <c r="AY64" i="3" s="1"/>
  <c r="AX65" i="3"/>
  <c r="C89" i="3"/>
  <c r="F89" i="3"/>
  <c r="E89" i="3"/>
  <c r="D89" i="3"/>
  <c r="H89" i="3"/>
  <c r="F96" i="3"/>
  <c r="W35" i="3"/>
  <c r="W50" i="3"/>
  <c r="M53" i="3"/>
  <c r="AB53" i="3"/>
  <c r="AW53" i="3" s="1"/>
  <c r="C55" i="3"/>
  <c r="BC18" i="3" s="1"/>
  <c r="AG56" i="3"/>
  <c r="AF56" i="3"/>
  <c r="AX56" i="3" s="1"/>
  <c r="N58" i="3"/>
  <c r="AB58" i="3"/>
  <c r="W59" i="3"/>
  <c r="M61" i="3"/>
  <c r="D63" i="3"/>
  <c r="AM63" i="3"/>
  <c r="G64" i="3"/>
  <c r="AU66" i="3"/>
  <c r="AH66" i="3"/>
  <c r="AG66" i="3"/>
  <c r="AX66" i="3" s="1"/>
  <c r="I82" i="3"/>
  <c r="C82" i="3"/>
  <c r="BE11" i="3" s="1"/>
  <c r="G89" i="3"/>
  <c r="AQ57" i="3"/>
  <c r="AZ57" i="3" s="1"/>
  <c r="W60" i="3"/>
  <c r="AV60" i="3" s="1"/>
  <c r="AB62" i="3"/>
  <c r="AW62" i="3" s="1"/>
  <c r="M66" i="3"/>
  <c r="AT66" i="3" s="1"/>
  <c r="H101" i="3"/>
  <c r="BF13" i="3" s="1"/>
  <c r="G101" i="3"/>
  <c r="F101" i="3"/>
  <c r="H106" i="3"/>
  <c r="BF18" i="3" s="1"/>
  <c r="G106" i="3"/>
  <c r="F106" i="3"/>
  <c r="AZ64" i="3"/>
  <c r="H66" i="3"/>
  <c r="BD12" i="3" s="1"/>
  <c r="H69" i="3"/>
  <c r="BD15" i="3" s="1"/>
  <c r="H100" i="3"/>
  <c r="G100" i="3"/>
  <c r="F100" i="3"/>
  <c r="H105" i="3"/>
  <c r="G105" i="3"/>
  <c r="F105" i="3"/>
  <c r="V66" i="3"/>
  <c r="H98" i="3"/>
  <c r="G98" i="3"/>
  <c r="C100" i="3"/>
  <c r="C105" i="3"/>
  <c r="W66" i="3"/>
  <c r="C98" i="3"/>
  <c r="D100" i="3"/>
  <c r="H103" i="3"/>
  <c r="BF15" i="3" s="1"/>
  <c r="G103" i="3"/>
  <c r="F103" i="3"/>
  <c r="D105" i="3"/>
  <c r="BC13" i="3" l="1"/>
  <c r="BF16" i="3"/>
  <c r="BF8" i="3"/>
  <c r="BD18" i="3"/>
  <c r="BE18" i="3"/>
  <c r="BF17" i="3"/>
  <c r="BF11" i="3"/>
  <c r="BC14" i="3"/>
  <c r="BC19" i="3" s="1"/>
  <c r="AX53" i="3"/>
  <c r="AX50" i="3"/>
  <c r="AV66" i="3"/>
  <c r="AV35" i="3"/>
  <c r="AT56" i="3"/>
  <c r="AX43" i="3"/>
  <c r="AY32" i="3"/>
  <c r="AW47" i="3"/>
  <c r="AY39" i="3"/>
  <c r="AX37" i="3"/>
  <c r="AV36" i="3"/>
  <c r="AV59" i="3"/>
  <c r="AW27" i="3"/>
  <c r="AV61" i="3"/>
  <c r="AX15" i="3"/>
  <c r="AV14" i="3"/>
  <c r="AV28" i="3"/>
  <c r="AU15" i="3"/>
  <c r="AW58" i="3"/>
  <c r="AT53" i="3"/>
  <c r="AY56" i="3"/>
  <c r="AV31" i="3"/>
  <c r="AV41" i="3"/>
  <c r="AY18" i="3"/>
  <c r="AV13" i="3"/>
  <c r="AV44" i="3"/>
  <c r="AW34" i="3"/>
  <c r="AY23" i="3"/>
  <c r="AX47" i="3"/>
  <c r="AX18" i="3"/>
  <c r="AW21" i="3"/>
  <c r="AW49" i="3"/>
  <c r="AW66" i="3"/>
  <c r="AU17" i="3"/>
  <c r="AU42" i="3"/>
  <c r="AV54" i="3"/>
  <c r="AV43" i="3"/>
  <c r="AW44" i="3"/>
  <c r="AV30" i="3"/>
  <c r="AY7" i="3"/>
  <c r="AY67" i="3" s="1"/>
  <c r="AV39" i="3"/>
  <c r="AW10" i="3"/>
  <c r="AU27" i="3"/>
  <c r="AU45" i="3"/>
  <c r="AT64" i="3"/>
  <c r="AV17" i="3"/>
  <c r="AY13" i="3"/>
  <c r="AW61" i="3"/>
  <c r="AW60" i="3"/>
  <c r="AT21" i="3"/>
  <c r="AY27" i="3"/>
  <c r="AV37" i="3"/>
  <c r="BB7" i="3"/>
  <c r="S8" i="3"/>
  <c r="R9" i="3" s="1"/>
  <c r="G56" i="3"/>
  <c r="G35" i="3"/>
  <c r="Q9" i="3"/>
  <c r="P10" i="3" s="1"/>
  <c r="BF12" i="3"/>
  <c r="S95" i="3"/>
  <c r="Q96" i="3"/>
  <c r="R96" i="3" s="1"/>
  <c r="AT31" i="3"/>
  <c r="BE15" i="3"/>
  <c r="AW35" i="3"/>
  <c r="AU40" i="3"/>
  <c r="AU8" i="3"/>
  <c r="V97" i="3"/>
  <c r="T98" i="3"/>
  <c r="U98" i="3" s="1"/>
  <c r="G73" i="3"/>
  <c r="AX7" i="3"/>
  <c r="E39" i="3"/>
  <c r="BD7" i="3"/>
  <c r="AZ11" i="3"/>
  <c r="AZ67" i="3" s="1"/>
  <c r="AV42" i="3"/>
  <c r="E22" i="3"/>
  <c r="BC16" i="3"/>
  <c r="G14" i="3"/>
  <c r="AY36" i="3"/>
  <c r="F10" i="3"/>
  <c r="H10" i="3" s="1"/>
  <c r="E107" i="3"/>
  <c r="M95" i="3"/>
  <c r="K96" i="3"/>
  <c r="L96" i="3" s="1"/>
  <c r="M7" i="3"/>
  <c r="K8" i="3"/>
  <c r="G107" i="3"/>
  <c r="BE8" i="3"/>
  <c r="BE19" i="3" s="1"/>
  <c r="E73" i="3"/>
  <c r="AX24" i="3"/>
  <c r="AV8" i="3"/>
  <c r="AU31" i="3"/>
  <c r="I27" i="3"/>
  <c r="D28" i="3" s="1"/>
  <c r="BD10" i="3"/>
  <c r="BF10" i="3"/>
  <c r="G12" i="3"/>
  <c r="BE9" i="3"/>
  <c r="P96" i="3"/>
  <c r="N97" i="3"/>
  <c r="O97" i="3" s="1"/>
  <c r="G37" i="3"/>
  <c r="AT65" i="3"/>
  <c r="E90" i="3"/>
  <c r="AZ51" i="3"/>
  <c r="AW45" i="3"/>
  <c r="AV27" i="3"/>
  <c r="AW18" i="3"/>
  <c r="AW67" i="3" s="1"/>
  <c r="AX12" i="3"/>
  <c r="AZ47" i="3"/>
  <c r="BD19" i="3" l="1"/>
  <c r="G39" i="3"/>
  <c r="G22" i="3"/>
  <c r="BF19" i="3"/>
  <c r="AV67" i="3"/>
  <c r="AU9" i="3"/>
  <c r="I10" i="3"/>
  <c r="D11" i="3" s="1"/>
  <c r="F28" i="3"/>
  <c r="H28" i="3" s="1"/>
  <c r="T99" i="3"/>
  <c r="U99" i="3" s="1"/>
  <c r="V98" i="3"/>
  <c r="S9" i="3"/>
  <c r="AX67" i="3"/>
  <c r="L8" i="3"/>
  <c r="K9" i="3" s="1"/>
  <c r="M8" i="3"/>
  <c r="N8" i="3" s="1"/>
  <c r="N98" i="3"/>
  <c r="O98" i="3" s="1"/>
  <c r="P97" i="3"/>
  <c r="BA7" i="3"/>
  <c r="N7" i="3"/>
  <c r="S96" i="3"/>
  <c r="Q97" i="3"/>
  <c r="R97" i="3" s="1"/>
  <c r="AT7" i="3"/>
  <c r="R10" i="3"/>
  <c r="R67" i="3" s="1"/>
  <c r="H23" i="1" s="1"/>
  <c r="Q10" i="3"/>
  <c r="K97" i="3"/>
  <c r="L97" i="3" s="1"/>
  <c r="M96" i="3"/>
  <c r="BB8" i="3" l="1"/>
  <c r="F11" i="3"/>
  <c r="H11" i="3" s="1"/>
  <c r="AU10" i="3"/>
  <c r="AU67" i="3" s="1"/>
  <c r="P98" i="3"/>
  <c r="N99" i="3"/>
  <c r="O99" i="3" s="1"/>
  <c r="S97" i="3"/>
  <c r="Q98" i="3"/>
  <c r="R98" i="3" s="1"/>
  <c r="T100" i="3"/>
  <c r="U100" i="3" s="1"/>
  <c r="V99" i="3"/>
  <c r="I28" i="3"/>
  <c r="D29" i="3" s="1"/>
  <c r="S10" i="3"/>
  <c r="S67" i="3" s="1"/>
  <c r="I23" i="1" s="1"/>
  <c r="L9" i="3"/>
  <c r="K10" i="3" s="1"/>
  <c r="AT8" i="3"/>
  <c r="K98" i="3"/>
  <c r="L98" i="3" s="1"/>
  <c r="M97" i="3"/>
  <c r="M9" i="3" l="1"/>
  <c r="S98" i="3"/>
  <c r="Q99" i="3"/>
  <c r="R99" i="3" s="1"/>
  <c r="F29" i="3"/>
  <c r="H29" i="3" s="1"/>
  <c r="N100" i="3"/>
  <c r="O100" i="3" s="1"/>
  <c r="P99" i="3"/>
  <c r="BA8" i="3"/>
  <c r="I11" i="3"/>
  <c r="D12" i="3" s="1"/>
  <c r="L10" i="3"/>
  <c r="K11" i="3" s="1"/>
  <c r="AT9" i="3"/>
  <c r="K99" i="3"/>
  <c r="L99" i="3" s="1"/>
  <c r="M98" i="3"/>
  <c r="T101" i="3"/>
  <c r="U101" i="3" s="1"/>
  <c r="V100" i="3"/>
  <c r="T102" i="3" l="1"/>
  <c r="U102" i="3" s="1"/>
  <c r="V101" i="3"/>
  <c r="L11" i="3"/>
  <c r="K12" i="3" s="1"/>
  <c r="K100" i="3"/>
  <c r="L100" i="3" s="1"/>
  <c r="M99" i="3"/>
  <c r="BB9" i="3"/>
  <c r="N9" i="3"/>
  <c r="N101" i="3"/>
  <c r="O101" i="3" s="1"/>
  <c r="P100" i="3"/>
  <c r="I29" i="3"/>
  <c r="D30" i="3" s="1"/>
  <c r="S99" i="3"/>
  <c r="Q100" i="3"/>
  <c r="R100" i="3" s="1"/>
  <c r="F12" i="3"/>
  <c r="H12" i="3" s="1"/>
  <c r="I12" i="3" s="1"/>
  <c r="D13" i="3" s="1"/>
  <c r="F13" i="3" l="1"/>
  <c r="H13" i="3" s="1"/>
  <c r="BA10" i="3" s="1"/>
  <c r="M100" i="3"/>
  <c r="K101" i="3"/>
  <c r="L101" i="3" s="1"/>
  <c r="F30" i="3"/>
  <c r="H30" i="3" s="1"/>
  <c r="I30" i="3" s="1"/>
  <c r="D31" i="3" s="1"/>
  <c r="L12" i="3"/>
  <c r="K13" i="3" s="1"/>
  <c r="M10" i="3"/>
  <c r="N10" i="3"/>
  <c r="V102" i="3"/>
  <c r="T103" i="3"/>
  <c r="U103" i="3" s="1"/>
  <c r="BA9" i="3"/>
  <c r="P101" i="3"/>
  <c r="N102" i="3"/>
  <c r="O102" i="3" s="1"/>
  <c r="S100" i="3"/>
  <c r="Q101" i="3"/>
  <c r="R101" i="3" s="1"/>
  <c r="F31" i="3" l="1"/>
  <c r="H31" i="3" s="1"/>
  <c r="BB11" i="3" s="1"/>
  <c r="N103" i="3"/>
  <c r="O103" i="3" s="1"/>
  <c r="P102" i="3"/>
  <c r="L13" i="3"/>
  <c r="K14" i="3" s="1"/>
  <c r="M101" i="3"/>
  <c r="K102" i="3"/>
  <c r="L102" i="3" s="1"/>
  <c r="M11" i="3"/>
  <c r="AT11" i="3" s="1"/>
  <c r="N11" i="3"/>
  <c r="V103" i="3"/>
  <c r="T104" i="3"/>
  <c r="U104" i="3" s="1"/>
  <c r="S101" i="3"/>
  <c r="Q102" i="3"/>
  <c r="R102" i="3" s="1"/>
  <c r="AT10" i="3"/>
  <c r="I13" i="3"/>
  <c r="D14" i="3" s="1"/>
  <c r="BB10" i="3"/>
  <c r="F14" i="3" l="1"/>
  <c r="H14" i="3" s="1"/>
  <c r="I14" i="3" s="1"/>
  <c r="D15" i="3" s="1"/>
  <c r="K103" i="3"/>
  <c r="L103" i="3" s="1"/>
  <c r="M102" i="3"/>
  <c r="S102" i="3"/>
  <c r="Q103" i="3"/>
  <c r="R103" i="3" s="1"/>
  <c r="T105" i="3"/>
  <c r="U105" i="3" s="1"/>
  <c r="V104" i="3"/>
  <c r="P103" i="3"/>
  <c r="N104" i="3"/>
  <c r="O104" i="3" s="1"/>
  <c r="L14" i="3"/>
  <c r="K15" i="3" s="1"/>
  <c r="M12" i="3"/>
  <c r="I31" i="3"/>
  <c r="D32" i="3" s="1"/>
  <c r="F15" i="3" l="1"/>
  <c r="H15" i="3" s="1"/>
  <c r="BA12" i="3" s="1"/>
  <c r="T106" i="3"/>
  <c r="U106" i="3" s="1"/>
  <c r="V105" i="3"/>
  <c r="S103" i="3"/>
  <c r="Q104" i="3"/>
  <c r="R104" i="3" s="1"/>
  <c r="K104" i="3"/>
  <c r="L104" i="3" s="1"/>
  <c r="M103" i="3"/>
  <c r="AT12" i="3"/>
  <c r="N12" i="3"/>
  <c r="L15" i="3"/>
  <c r="K16" i="3" s="1"/>
  <c r="F32" i="3"/>
  <c r="H32" i="3" s="1"/>
  <c r="N105" i="3"/>
  <c r="O105" i="3" s="1"/>
  <c r="P104" i="3"/>
  <c r="BA11" i="3"/>
  <c r="L16" i="3" l="1"/>
  <c r="K17" i="3" s="1"/>
  <c r="V106" i="3"/>
  <c r="T107" i="3"/>
  <c r="U107" i="3" s="1"/>
  <c r="BB12" i="3"/>
  <c r="I32" i="3"/>
  <c r="D33" i="3" s="1"/>
  <c r="N106" i="3"/>
  <c r="O106" i="3" s="1"/>
  <c r="P105" i="3"/>
  <c r="M104" i="3"/>
  <c r="K105" i="3"/>
  <c r="L105" i="3" s="1"/>
  <c r="S104" i="3"/>
  <c r="Q105" i="3"/>
  <c r="R105" i="3" s="1"/>
  <c r="M13" i="3"/>
  <c r="AT13" i="3" s="1"/>
  <c r="I15" i="3"/>
  <c r="D16" i="3" s="1"/>
  <c r="L17" i="3" l="1"/>
  <c r="K18" i="3" s="1"/>
  <c r="F16" i="3"/>
  <c r="H16" i="3" s="1"/>
  <c r="BA13" i="3" s="1"/>
  <c r="F33" i="3"/>
  <c r="H33" i="3" s="1"/>
  <c r="BB13" i="3" s="1"/>
  <c r="N13" i="3"/>
  <c r="S105" i="3"/>
  <c r="Q106" i="3"/>
  <c r="R106" i="3" s="1"/>
  <c r="N107" i="3"/>
  <c r="O107" i="3" s="1"/>
  <c r="P106" i="3"/>
  <c r="T108" i="3"/>
  <c r="U108" i="3" s="1"/>
  <c r="V107" i="3"/>
  <c r="M105" i="3"/>
  <c r="K106" i="3"/>
  <c r="L106" i="3" s="1"/>
  <c r="K107" i="3" l="1"/>
  <c r="L107" i="3" s="1"/>
  <c r="M106" i="3"/>
  <c r="I33" i="3"/>
  <c r="D34" i="3" s="1"/>
  <c r="M14" i="3"/>
  <c r="AT14" i="3" s="1"/>
  <c r="N108" i="3"/>
  <c r="O108" i="3" s="1"/>
  <c r="P107" i="3"/>
  <c r="I16" i="3"/>
  <c r="D17" i="3" s="1"/>
  <c r="T109" i="3"/>
  <c r="U109" i="3" s="1"/>
  <c r="V108" i="3"/>
  <c r="L18" i="3"/>
  <c r="S106" i="3"/>
  <c r="Q107" i="3"/>
  <c r="R107" i="3" s="1"/>
  <c r="Q108" i="3" l="1"/>
  <c r="R108" i="3" s="1"/>
  <c r="S107" i="3"/>
  <c r="N14" i="3"/>
  <c r="T110" i="3"/>
  <c r="U110" i="3" s="1"/>
  <c r="V109" i="3"/>
  <c r="F17" i="3"/>
  <c r="H17" i="3" s="1"/>
  <c r="BA14" i="3" s="1"/>
  <c r="N109" i="3"/>
  <c r="O109" i="3" s="1"/>
  <c r="P108" i="3"/>
  <c r="F34" i="3"/>
  <c r="H34" i="3" s="1"/>
  <c r="BB14" i="3" s="1"/>
  <c r="K108" i="3"/>
  <c r="L108" i="3" s="1"/>
  <c r="M107" i="3"/>
  <c r="M15" i="3" l="1"/>
  <c r="AT15" i="3" s="1"/>
  <c r="I17" i="3"/>
  <c r="D18" i="3" s="1"/>
  <c r="T111" i="3"/>
  <c r="U111" i="3" s="1"/>
  <c r="V110" i="3"/>
  <c r="M108" i="3"/>
  <c r="K109" i="3"/>
  <c r="L109" i="3" s="1"/>
  <c r="I34" i="3"/>
  <c r="D35" i="3" s="1"/>
  <c r="Q109" i="3"/>
  <c r="R109" i="3" s="1"/>
  <c r="S108" i="3"/>
  <c r="P109" i="3"/>
  <c r="N110" i="3"/>
  <c r="O110" i="3" s="1"/>
  <c r="F35" i="3" l="1"/>
  <c r="H35" i="3" s="1"/>
  <c r="BB15" i="3" s="1"/>
  <c r="F18" i="3"/>
  <c r="H18" i="3" s="1"/>
  <c r="BA15" i="3" s="1"/>
  <c r="I18" i="3"/>
  <c r="D19" i="3" s="1"/>
  <c r="Q110" i="3"/>
  <c r="R110" i="3" s="1"/>
  <c r="S109" i="3"/>
  <c r="T112" i="3"/>
  <c r="U112" i="3" s="1"/>
  <c r="V111" i="3"/>
  <c r="N111" i="3"/>
  <c r="O111" i="3" s="1"/>
  <c r="P110" i="3"/>
  <c r="N15" i="3"/>
  <c r="M109" i="3"/>
  <c r="K110" i="3"/>
  <c r="L110" i="3" s="1"/>
  <c r="F19" i="3" l="1"/>
  <c r="H19" i="3" s="1"/>
  <c r="BA16" i="3" s="1"/>
  <c r="P111" i="3"/>
  <c r="N112" i="3"/>
  <c r="O112" i="3" s="1"/>
  <c r="S110" i="3"/>
  <c r="Q111" i="3"/>
  <c r="R111" i="3" s="1"/>
  <c r="M110" i="3"/>
  <c r="K111" i="3"/>
  <c r="L111" i="3" s="1"/>
  <c r="I35" i="3"/>
  <c r="D36" i="3" s="1"/>
  <c r="T113" i="3"/>
  <c r="U113" i="3" s="1"/>
  <c r="V112" i="3"/>
  <c r="M16" i="3"/>
  <c r="AT16" i="3" s="1"/>
  <c r="K112" i="3" l="1"/>
  <c r="L112" i="3" s="1"/>
  <c r="M111" i="3"/>
  <c r="Q112" i="3"/>
  <c r="R112" i="3" s="1"/>
  <c r="S111" i="3"/>
  <c r="P112" i="3"/>
  <c r="N113" i="3"/>
  <c r="O113" i="3" s="1"/>
  <c r="V113" i="3"/>
  <c r="T114" i="3"/>
  <c r="U114" i="3" s="1"/>
  <c r="F36" i="3"/>
  <c r="H36" i="3" s="1"/>
  <c r="BB16" i="3" s="1"/>
  <c r="N16" i="3"/>
  <c r="I19" i="3"/>
  <c r="D20" i="3" s="1"/>
  <c r="Q113" i="3" l="1"/>
  <c r="R113" i="3" s="1"/>
  <c r="S112" i="3"/>
  <c r="I36" i="3"/>
  <c r="D37" i="3" s="1"/>
  <c r="T115" i="3"/>
  <c r="U115" i="3" s="1"/>
  <c r="V114" i="3"/>
  <c r="P113" i="3"/>
  <c r="N114" i="3"/>
  <c r="O114" i="3" s="1"/>
  <c r="F20" i="3"/>
  <c r="H20" i="3" s="1"/>
  <c r="BA17" i="3" s="1"/>
  <c r="N17" i="3"/>
  <c r="M17" i="3"/>
  <c r="AT17" i="3" s="1"/>
  <c r="M112" i="3"/>
  <c r="K113" i="3"/>
  <c r="L113" i="3" s="1"/>
  <c r="K114" i="3" l="1"/>
  <c r="L114" i="3" s="1"/>
  <c r="M113" i="3"/>
  <c r="F37" i="3"/>
  <c r="H37" i="3" s="1"/>
  <c r="BB17" i="3" s="1"/>
  <c r="V115" i="3"/>
  <c r="T116" i="3"/>
  <c r="U116" i="3" s="1"/>
  <c r="M18" i="3"/>
  <c r="N18" i="3" s="1"/>
  <c r="N67" i="3" s="1"/>
  <c r="I22" i="1" s="1"/>
  <c r="I20" i="3"/>
  <c r="D21" i="3" s="1"/>
  <c r="N115" i="3"/>
  <c r="O115" i="3" s="1"/>
  <c r="P114" i="3"/>
  <c r="Q114" i="3"/>
  <c r="R114" i="3" s="1"/>
  <c r="S113" i="3"/>
  <c r="N116" i="3" l="1"/>
  <c r="O116" i="3" s="1"/>
  <c r="P115" i="3"/>
  <c r="F21" i="3"/>
  <c r="H21" i="3" s="1"/>
  <c r="I21" i="3" s="1"/>
  <c r="I22" i="3" s="1"/>
  <c r="I31" i="1" s="1"/>
  <c r="Q115" i="3"/>
  <c r="R115" i="3" s="1"/>
  <c r="S114" i="3"/>
  <c r="M67" i="3"/>
  <c r="H22" i="1" s="1"/>
  <c r="AT18" i="3"/>
  <c r="AT67" i="3" s="1"/>
  <c r="T117" i="3"/>
  <c r="U117" i="3" s="1"/>
  <c r="V116" i="3"/>
  <c r="I37" i="3"/>
  <c r="D38" i="3" s="1"/>
  <c r="M114" i="3"/>
  <c r="K115" i="3"/>
  <c r="L115" i="3" s="1"/>
  <c r="V117" i="3" l="1"/>
  <c r="T118" i="3"/>
  <c r="U118" i="3" s="1"/>
  <c r="Q116" i="3"/>
  <c r="R116" i="3" s="1"/>
  <c r="S115" i="3"/>
  <c r="K116" i="3"/>
  <c r="L116" i="3" s="1"/>
  <c r="M115" i="3"/>
  <c r="F38" i="3"/>
  <c r="H38" i="3" s="1"/>
  <c r="P116" i="3"/>
  <c r="N117" i="3"/>
  <c r="O117" i="3" s="1"/>
  <c r="BA18" i="3"/>
  <c r="BA19" i="3" s="1"/>
  <c r="H22" i="3"/>
  <c r="H31" i="1" s="1" a="1"/>
  <c r="H31" i="1" s="1"/>
  <c r="BB18" i="3" l="1"/>
  <c r="BB19" i="3" s="1"/>
  <c r="H39" i="3"/>
  <c r="H32" i="1" s="1"/>
  <c r="B45" i="1" s="1"/>
  <c r="B46" i="1" s="1"/>
  <c r="T119" i="3"/>
  <c r="U119" i="3" s="1"/>
  <c r="V118" i="3"/>
  <c r="I38" i="3"/>
  <c r="I39" i="3" s="1"/>
  <c r="I32" i="1" s="1"/>
  <c r="D6" i="1" s="1"/>
  <c r="K117" i="3"/>
  <c r="L117" i="3" s="1"/>
  <c r="M116" i="3"/>
  <c r="Q117" i="3"/>
  <c r="R117" i="3" s="1"/>
  <c r="S116" i="3"/>
  <c r="N118" i="3"/>
  <c r="O118" i="3" s="1"/>
  <c r="P117" i="3"/>
  <c r="Q118" i="3" l="1"/>
  <c r="R118" i="3" s="1"/>
  <c r="S117" i="3"/>
  <c r="M117" i="3"/>
  <c r="K118" i="3"/>
  <c r="L118" i="3" s="1"/>
  <c r="V119" i="3"/>
  <c r="T120" i="3"/>
  <c r="U120" i="3" s="1"/>
  <c r="P118" i="3"/>
  <c r="N119" i="3"/>
  <c r="O119" i="3" s="1"/>
  <c r="N120" i="3" l="1"/>
  <c r="O120" i="3" s="1"/>
  <c r="P119" i="3"/>
  <c r="K119" i="3"/>
  <c r="L119" i="3" s="1"/>
  <c r="M118" i="3"/>
  <c r="V120" i="3"/>
  <c r="T121" i="3"/>
  <c r="U121" i="3" s="1"/>
  <c r="Q119" i="3"/>
  <c r="R119" i="3" s="1"/>
  <c r="S118" i="3"/>
  <c r="Q120" i="3" l="1"/>
  <c r="R120" i="3" s="1"/>
  <c r="S119" i="3"/>
  <c r="V121" i="3"/>
  <c r="T122" i="3"/>
  <c r="U122" i="3" s="1"/>
  <c r="M119" i="3"/>
  <c r="K120" i="3"/>
  <c r="L120" i="3" s="1"/>
  <c r="P120" i="3"/>
  <c r="N121" i="3"/>
  <c r="O121" i="3" s="1"/>
  <c r="K121" i="3" l="1"/>
  <c r="L121" i="3" s="1"/>
  <c r="M120" i="3"/>
  <c r="N122" i="3"/>
  <c r="O122" i="3" s="1"/>
  <c r="P121" i="3"/>
  <c r="T123" i="3"/>
  <c r="U123" i="3" s="1"/>
  <c r="V122" i="3"/>
  <c r="Q121" i="3"/>
  <c r="R121" i="3" s="1"/>
  <c r="S120" i="3"/>
  <c r="Q122" i="3" l="1"/>
  <c r="R122" i="3" s="1"/>
  <c r="S121" i="3"/>
  <c r="T124" i="3"/>
  <c r="U124" i="3" s="1"/>
  <c r="V123" i="3"/>
  <c r="P122" i="3"/>
  <c r="N123" i="3"/>
  <c r="O123" i="3" s="1"/>
  <c r="M121" i="3"/>
  <c r="K122" i="3"/>
  <c r="L122" i="3" s="1"/>
  <c r="K123" i="3" l="1"/>
  <c r="L123" i="3" s="1"/>
  <c r="M122" i="3"/>
  <c r="N124" i="3"/>
  <c r="O124" i="3" s="1"/>
  <c r="P123" i="3"/>
  <c r="T125" i="3"/>
  <c r="U125" i="3" s="1"/>
  <c r="V124" i="3"/>
  <c r="Q123" i="3"/>
  <c r="R123" i="3" s="1"/>
  <c r="S122" i="3"/>
  <c r="Q124" i="3" l="1"/>
  <c r="R124" i="3" s="1"/>
  <c r="S123" i="3"/>
  <c r="T126" i="3"/>
  <c r="U126" i="3" s="1"/>
  <c r="V125" i="3"/>
  <c r="P124" i="3"/>
  <c r="N125" i="3"/>
  <c r="O125" i="3" s="1"/>
  <c r="K124" i="3"/>
  <c r="L124" i="3" s="1"/>
  <c r="M123" i="3"/>
  <c r="K125" i="3" l="1"/>
  <c r="L125" i="3" s="1"/>
  <c r="M124" i="3"/>
  <c r="P125" i="3"/>
  <c r="N126" i="3"/>
  <c r="O126" i="3" s="1"/>
  <c r="T127" i="3"/>
  <c r="U127" i="3" s="1"/>
  <c r="V126" i="3"/>
  <c r="Q125" i="3"/>
  <c r="R125" i="3" s="1"/>
  <c r="S124" i="3"/>
  <c r="V127" i="3" l="1"/>
  <c r="T128" i="3"/>
  <c r="U128" i="3" s="1"/>
  <c r="Q126" i="3"/>
  <c r="R126" i="3" s="1"/>
  <c r="S125" i="3"/>
  <c r="N127" i="3"/>
  <c r="O127" i="3" s="1"/>
  <c r="P126" i="3"/>
  <c r="M125" i="3"/>
  <c r="K126" i="3"/>
  <c r="L126" i="3" s="1"/>
  <c r="K127" i="3" l="1"/>
  <c r="L127" i="3" s="1"/>
  <c r="M126" i="3"/>
  <c r="P127" i="3"/>
  <c r="N128" i="3"/>
  <c r="O128" i="3" s="1"/>
  <c r="V128" i="3"/>
  <c r="T129" i="3"/>
  <c r="U129" i="3" s="1"/>
  <c r="S126" i="3"/>
  <c r="Q127" i="3"/>
  <c r="R127" i="3" s="1"/>
  <c r="P128" i="3" l="1"/>
  <c r="N129" i="3"/>
  <c r="O129" i="3" s="1"/>
  <c r="T130" i="3"/>
  <c r="U130" i="3" s="1"/>
  <c r="V129" i="3"/>
  <c r="Q128" i="3"/>
  <c r="R128" i="3" s="1"/>
  <c r="S127" i="3"/>
  <c r="K128" i="3"/>
  <c r="L128" i="3" s="1"/>
  <c r="M127" i="3"/>
  <c r="M128" i="3" l="1"/>
  <c r="K129" i="3"/>
  <c r="L129" i="3" s="1"/>
  <c r="T131" i="3"/>
  <c r="U131" i="3" s="1"/>
  <c r="V130" i="3"/>
  <c r="Q129" i="3"/>
  <c r="R129" i="3" s="1"/>
  <c r="S128" i="3"/>
  <c r="N130" i="3"/>
  <c r="O130" i="3" s="1"/>
  <c r="P129" i="3"/>
  <c r="N131" i="3" l="1"/>
  <c r="O131" i="3" s="1"/>
  <c r="P130" i="3"/>
  <c r="M129" i="3"/>
  <c r="K130" i="3"/>
  <c r="L130" i="3" s="1"/>
  <c r="S129" i="3"/>
  <c r="Q130" i="3"/>
  <c r="R130" i="3" s="1"/>
  <c r="V131" i="3"/>
  <c r="T132" i="3"/>
  <c r="U132" i="3" s="1"/>
  <c r="T133" i="3" l="1"/>
  <c r="U133" i="3" s="1"/>
  <c r="V132" i="3"/>
  <c r="M130" i="3"/>
  <c r="K131" i="3"/>
  <c r="L131" i="3" s="1"/>
  <c r="Q131" i="3"/>
  <c r="R131" i="3" s="1"/>
  <c r="S130" i="3"/>
  <c r="N132" i="3"/>
  <c r="O132" i="3" s="1"/>
  <c r="P131" i="3"/>
  <c r="S131" i="3" l="1"/>
  <c r="Q132" i="3"/>
  <c r="R132" i="3" s="1"/>
  <c r="P132" i="3"/>
  <c r="N133" i="3"/>
  <c r="O133" i="3" s="1"/>
  <c r="K132" i="3"/>
  <c r="L132" i="3" s="1"/>
  <c r="M131" i="3"/>
  <c r="V133" i="3"/>
  <c r="T134" i="3"/>
  <c r="U134" i="3" s="1"/>
  <c r="T135" i="3" l="1"/>
  <c r="U135" i="3" s="1"/>
  <c r="V134" i="3"/>
  <c r="K133" i="3"/>
  <c r="L133" i="3" s="1"/>
  <c r="M132" i="3"/>
  <c r="N134" i="3"/>
  <c r="O134" i="3" s="1"/>
  <c r="P133" i="3"/>
  <c r="Q133" i="3"/>
  <c r="R133" i="3" s="1"/>
  <c r="S132" i="3"/>
  <c r="K134" i="3" l="1"/>
  <c r="L134" i="3" s="1"/>
  <c r="M133" i="3"/>
  <c r="P134" i="3"/>
  <c r="N135" i="3"/>
  <c r="O135" i="3" s="1"/>
  <c r="S133" i="3"/>
  <c r="Q134" i="3"/>
  <c r="R134" i="3" s="1"/>
  <c r="T136" i="3"/>
  <c r="U136" i="3" s="1"/>
  <c r="V135" i="3"/>
  <c r="N136" i="3" l="1"/>
  <c r="O136" i="3" s="1"/>
  <c r="P135" i="3"/>
  <c r="T137" i="3"/>
  <c r="U137" i="3" s="1"/>
  <c r="V136" i="3"/>
  <c r="Q135" i="3"/>
  <c r="R135" i="3" s="1"/>
  <c r="S134" i="3"/>
  <c r="K135" i="3"/>
  <c r="L135" i="3" s="1"/>
  <c r="M134" i="3"/>
  <c r="S135" i="3" l="1"/>
  <c r="Q136" i="3"/>
  <c r="R136" i="3" s="1"/>
  <c r="M135" i="3"/>
  <c r="K136" i="3"/>
  <c r="L136" i="3" s="1"/>
  <c r="T138" i="3"/>
  <c r="U138" i="3" s="1"/>
  <c r="V137" i="3"/>
  <c r="N137" i="3"/>
  <c r="O137" i="3" s="1"/>
  <c r="P136" i="3"/>
  <c r="S136" i="3" l="1"/>
  <c r="Q137" i="3"/>
  <c r="R137" i="3" s="1"/>
  <c r="N138" i="3"/>
  <c r="O138" i="3" s="1"/>
  <c r="P137" i="3"/>
  <c r="T139" i="3"/>
  <c r="U139" i="3" s="1"/>
  <c r="V138" i="3"/>
  <c r="M136" i="3"/>
  <c r="K137" i="3"/>
  <c r="L137" i="3" s="1"/>
  <c r="K138" i="3" l="1"/>
  <c r="L138" i="3" s="1"/>
  <c r="M137" i="3"/>
  <c r="P138" i="3"/>
  <c r="N139" i="3"/>
  <c r="O139" i="3" s="1"/>
  <c r="V139" i="3"/>
  <c r="T140" i="3"/>
  <c r="U140" i="3" s="1"/>
  <c r="S137" i="3"/>
  <c r="Q138" i="3"/>
  <c r="R138" i="3" s="1"/>
  <c r="T141" i="3" l="1"/>
  <c r="U141" i="3" s="1"/>
  <c r="V140" i="3"/>
  <c r="Q139" i="3"/>
  <c r="R139" i="3" s="1"/>
  <c r="S138" i="3"/>
  <c r="N140" i="3"/>
  <c r="O140" i="3" s="1"/>
  <c r="P139" i="3"/>
  <c r="M138" i="3"/>
  <c r="K139" i="3"/>
  <c r="L139" i="3" s="1"/>
  <c r="P140" i="3" l="1"/>
  <c r="N141" i="3"/>
  <c r="O141" i="3" s="1"/>
  <c r="M139" i="3"/>
  <c r="K140" i="3"/>
  <c r="L140" i="3" s="1"/>
  <c r="S139" i="3"/>
  <c r="Q140" i="3"/>
  <c r="R140" i="3" s="1"/>
  <c r="T142" i="3"/>
  <c r="U142" i="3" s="1"/>
  <c r="V141" i="3"/>
  <c r="T143" i="3" l="1"/>
  <c r="U143" i="3" s="1"/>
  <c r="V142" i="3"/>
  <c r="S140" i="3"/>
  <c r="Q141" i="3"/>
  <c r="R141" i="3" s="1"/>
  <c r="M140" i="3"/>
  <c r="K141" i="3"/>
  <c r="L141" i="3" s="1"/>
  <c r="P141" i="3"/>
  <c r="N142" i="3"/>
  <c r="O142" i="3" s="1"/>
  <c r="K142" i="3" l="1"/>
  <c r="L142" i="3" s="1"/>
  <c r="M141" i="3"/>
  <c r="P142" i="3"/>
  <c r="N143" i="3"/>
  <c r="O143" i="3" s="1"/>
  <c r="S141" i="3"/>
  <c r="Q142" i="3"/>
  <c r="R142" i="3" s="1"/>
  <c r="T144" i="3"/>
  <c r="U144" i="3" s="1"/>
  <c r="V143" i="3"/>
  <c r="V144" i="3" l="1"/>
  <c r="T145" i="3"/>
  <c r="U145" i="3" s="1"/>
  <c r="Q143" i="3"/>
  <c r="R143" i="3" s="1"/>
  <c r="S142" i="3"/>
  <c r="P143" i="3"/>
  <c r="N144" i="3"/>
  <c r="O144" i="3" s="1"/>
  <c r="M142" i="3"/>
  <c r="K143" i="3"/>
  <c r="L143" i="3" s="1"/>
  <c r="M143" i="3" l="1"/>
  <c r="K144" i="3"/>
  <c r="L144" i="3" s="1"/>
  <c r="T146" i="3"/>
  <c r="U146" i="3" s="1"/>
  <c r="V145" i="3"/>
  <c r="N145" i="3"/>
  <c r="O145" i="3" s="1"/>
  <c r="P144" i="3"/>
  <c r="Q144" i="3"/>
  <c r="R144" i="3" s="1"/>
  <c r="S143" i="3"/>
  <c r="Q145" i="3" l="1"/>
  <c r="R145" i="3" s="1"/>
  <c r="S144" i="3"/>
  <c r="N146" i="3"/>
  <c r="O146" i="3" s="1"/>
  <c r="P145" i="3"/>
  <c r="V146" i="3"/>
  <c r="T147" i="3"/>
  <c r="U147" i="3" s="1"/>
  <c r="K145" i="3"/>
  <c r="L145" i="3" s="1"/>
  <c r="M144" i="3"/>
  <c r="N147" i="3" l="1"/>
  <c r="O147" i="3" s="1"/>
  <c r="P146" i="3"/>
  <c r="T148" i="3"/>
  <c r="U148" i="3" s="1"/>
  <c r="V147" i="3"/>
  <c r="K146" i="3"/>
  <c r="L146" i="3" s="1"/>
  <c r="M145" i="3"/>
  <c r="S145" i="3"/>
  <c r="Q146" i="3"/>
  <c r="R146" i="3" s="1"/>
  <c r="K147" i="3" l="1"/>
  <c r="L147" i="3" s="1"/>
  <c r="M146" i="3"/>
  <c r="V148" i="3"/>
  <c r="T149" i="3"/>
  <c r="U149" i="3" s="1"/>
  <c r="Q147" i="3"/>
  <c r="R147" i="3" s="1"/>
  <c r="S146" i="3"/>
  <c r="P147" i="3"/>
  <c r="N148" i="3"/>
  <c r="O148" i="3" s="1"/>
  <c r="S147" i="3" l="1"/>
  <c r="Q148" i="3"/>
  <c r="R148" i="3" s="1"/>
  <c r="P148" i="3"/>
  <c r="N149" i="3"/>
  <c r="O149" i="3" s="1"/>
  <c r="T150" i="3"/>
  <c r="U150" i="3" s="1"/>
  <c r="V149" i="3"/>
  <c r="K148" i="3"/>
  <c r="L148" i="3" s="1"/>
  <c r="M147" i="3"/>
  <c r="T151" i="3" l="1"/>
  <c r="U151" i="3" s="1"/>
  <c r="V150" i="3"/>
  <c r="M148" i="3"/>
  <c r="K149" i="3"/>
  <c r="L149" i="3" s="1"/>
  <c r="S148" i="3"/>
  <c r="Q149" i="3"/>
  <c r="R149" i="3" s="1"/>
  <c r="P149" i="3"/>
  <c r="N150" i="3"/>
  <c r="O150" i="3" s="1"/>
  <c r="P150" i="3" l="1"/>
  <c r="N151" i="3"/>
  <c r="O151" i="3" s="1"/>
  <c r="K150" i="3"/>
  <c r="L150" i="3" s="1"/>
  <c r="M149" i="3"/>
  <c r="S149" i="3"/>
  <c r="Q150" i="3"/>
  <c r="R150" i="3" s="1"/>
  <c r="T152" i="3"/>
  <c r="U152" i="3" s="1"/>
  <c r="V151" i="3"/>
  <c r="Q151" i="3" l="1"/>
  <c r="R151" i="3" s="1"/>
  <c r="S150" i="3"/>
  <c r="V152" i="3"/>
  <c r="T153" i="3"/>
  <c r="U153" i="3" s="1"/>
  <c r="K151" i="3"/>
  <c r="L151" i="3" s="1"/>
  <c r="M150" i="3"/>
  <c r="P151" i="3"/>
  <c r="N152" i="3"/>
  <c r="O152" i="3" s="1"/>
  <c r="N153" i="3" l="1"/>
  <c r="O153" i="3" s="1"/>
  <c r="P152" i="3"/>
  <c r="K152" i="3"/>
  <c r="L152" i="3" s="1"/>
  <c r="M151" i="3"/>
  <c r="T154" i="3"/>
  <c r="U154" i="3" s="1"/>
  <c r="V153" i="3"/>
  <c r="Q152" i="3"/>
  <c r="R152" i="3" s="1"/>
  <c r="S151" i="3"/>
  <c r="M152" i="3" l="1"/>
  <c r="K153" i="3"/>
  <c r="L153" i="3" s="1"/>
  <c r="S152" i="3"/>
  <c r="Q153" i="3"/>
  <c r="R153" i="3" s="1"/>
  <c r="T155" i="3"/>
  <c r="U155" i="3" s="1"/>
  <c r="V154" i="3"/>
  <c r="P153" i="3"/>
  <c r="N154" i="3"/>
  <c r="O154" i="3" s="1"/>
  <c r="T156" i="3" l="1"/>
  <c r="U156" i="3" s="1"/>
  <c r="V155" i="3"/>
  <c r="K154" i="3"/>
  <c r="L154" i="3" s="1"/>
  <c r="M153" i="3"/>
  <c r="N155" i="3"/>
  <c r="O155" i="3" s="1"/>
  <c r="P154" i="3"/>
  <c r="S153" i="3"/>
  <c r="Q154" i="3"/>
  <c r="R154" i="3" s="1"/>
  <c r="P155" i="3" l="1"/>
  <c r="N156" i="3"/>
  <c r="O156" i="3" s="1"/>
  <c r="S154" i="3"/>
  <c r="Q155" i="3"/>
  <c r="R155" i="3" s="1"/>
  <c r="K155" i="3"/>
  <c r="L155" i="3" s="1"/>
  <c r="M154" i="3"/>
  <c r="V156" i="3"/>
  <c r="T157" i="3"/>
  <c r="U157" i="3" s="1"/>
  <c r="K156" i="3" l="1"/>
  <c r="L156" i="3" s="1"/>
  <c r="M155" i="3"/>
  <c r="V157" i="3"/>
  <c r="T158" i="3"/>
  <c r="U158" i="3" s="1"/>
  <c r="P156" i="3"/>
  <c r="N157" i="3"/>
  <c r="O157" i="3" s="1"/>
  <c r="Q156" i="3"/>
  <c r="R156" i="3" s="1"/>
  <c r="S155" i="3"/>
  <c r="N158" i="3" l="1"/>
  <c r="O158" i="3" s="1"/>
  <c r="P157" i="3"/>
  <c r="S156" i="3"/>
  <c r="Q157" i="3"/>
  <c r="R157" i="3" s="1"/>
  <c r="T159" i="3"/>
  <c r="U159" i="3" s="1"/>
  <c r="V158" i="3"/>
  <c r="K157" i="3"/>
  <c r="L157" i="3" s="1"/>
  <c r="M156" i="3"/>
  <c r="M157" i="3" l="1"/>
  <c r="K158" i="3"/>
  <c r="L158" i="3" s="1"/>
  <c r="T160" i="3"/>
  <c r="U160" i="3" s="1"/>
  <c r="V159" i="3"/>
  <c r="S157" i="3"/>
  <c r="Q158" i="3"/>
  <c r="R158" i="3" s="1"/>
  <c r="N159" i="3"/>
  <c r="O159" i="3" s="1"/>
  <c r="P158" i="3"/>
  <c r="P159" i="3" l="1"/>
  <c r="N160" i="3"/>
  <c r="O160" i="3" s="1"/>
  <c r="K159" i="3"/>
  <c r="L159" i="3" s="1"/>
  <c r="M158" i="3"/>
  <c r="S158" i="3"/>
  <c r="Q159" i="3"/>
  <c r="R159" i="3" s="1"/>
  <c r="T161" i="3"/>
  <c r="U161" i="3" s="1"/>
  <c r="V160" i="3"/>
  <c r="T162" i="3" l="1"/>
  <c r="U162" i="3" s="1"/>
  <c r="V161" i="3"/>
  <c r="P160" i="3"/>
  <c r="N161" i="3"/>
  <c r="O161" i="3" s="1"/>
  <c r="S159" i="3"/>
  <c r="Q160" i="3"/>
  <c r="R160" i="3" s="1"/>
  <c r="M159" i="3"/>
  <c r="K160" i="3"/>
  <c r="L160" i="3" s="1"/>
  <c r="K161" i="3" l="1"/>
  <c r="L161" i="3" s="1"/>
  <c r="M160" i="3"/>
  <c r="Q161" i="3"/>
  <c r="R161" i="3" s="1"/>
  <c r="S160" i="3"/>
  <c r="N162" i="3"/>
  <c r="O162" i="3" s="1"/>
  <c r="P161" i="3"/>
  <c r="T163" i="3"/>
  <c r="U163" i="3" s="1"/>
  <c r="V162" i="3"/>
  <c r="V163" i="3" l="1"/>
  <c r="T164" i="3"/>
  <c r="U164" i="3" s="1"/>
  <c r="P162" i="3"/>
  <c r="N163" i="3"/>
  <c r="O163" i="3" s="1"/>
  <c r="S161" i="3"/>
  <c r="Q162" i="3"/>
  <c r="R162" i="3" s="1"/>
  <c r="M161" i="3"/>
  <c r="K162" i="3"/>
  <c r="L162" i="3" s="1"/>
  <c r="Q163" i="3" l="1"/>
  <c r="R163" i="3" s="1"/>
  <c r="S162" i="3"/>
  <c r="V164" i="3"/>
  <c r="T165" i="3"/>
  <c r="U165" i="3" s="1"/>
  <c r="K163" i="3"/>
  <c r="L163" i="3" s="1"/>
  <c r="M162" i="3"/>
  <c r="N164" i="3"/>
  <c r="O164" i="3" s="1"/>
  <c r="P163" i="3"/>
  <c r="M163" i="3" l="1"/>
  <c r="K164" i="3"/>
  <c r="L164" i="3" s="1"/>
  <c r="P164" i="3"/>
  <c r="N165" i="3"/>
  <c r="O165" i="3" s="1"/>
  <c r="V165" i="3"/>
  <c r="T166" i="3"/>
  <c r="U166" i="3" s="1"/>
  <c r="Q164" i="3"/>
  <c r="R164" i="3" s="1"/>
  <c r="S163" i="3"/>
  <c r="Q165" i="3" l="1"/>
  <c r="R165" i="3" s="1"/>
  <c r="S164" i="3"/>
  <c r="P165" i="3"/>
  <c r="N166" i="3"/>
  <c r="O166" i="3" s="1"/>
  <c r="T167" i="3"/>
  <c r="U167" i="3" s="1"/>
  <c r="V166" i="3"/>
  <c r="K165" i="3"/>
  <c r="L165" i="3" s="1"/>
  <c r="M164" i="3"/>
  <c r="V167" i="3" l="1"/>
  <c r="T168" i="3"/>
  <c r="U168" i="3" s="1"/>
  <c r="K166" i="3"/>
  <c r="L166" i="3" s="1"/>
  <c r="M165" i="3"/>
  <c r="P166" i="3"/>
  <c r="N167" i="3"/>
  <c r="O167" i="3" s="1"/>
  <c r="Q166" i="3"/>
  <c r="R166" i="3" s="1"/>
  <c r="S165" i="3"/>
  <c r="S166" i="3" l="1"/>
  <c r="Q167" i="3"/>
  <c r="R167" i="3" s="1"/>
  <c r="P167" i="3"/>
  <c r="N168" i="3"/>
  <c r="O168" i="3" s="1"/>
  <c r="K167" i="3"/>
  <c r="L167" i="3" s="1"/>
  <c r="M166" i="3"/>
  <c r="V168" i="3"/>
  <c r="T169" i="3"/>
  <c r="U169" i="3" s="1"/>
  <c r="P168" i="3" l="1"/>
  <c r="N169" i="3"/>
  <c r="O169" i="3" s="1"/>
  <c r="M167" i="3"/>
  <c r="K168" i="3"/>
  <c r="L168" i="3" s="1"/>
  <c r="V169" i="3"/>
  <c r="T170" i="3"/>
  <c r="U170" i="3" s="1"/>
  <c r="Q168" i="3"/>
  <c r="R168" i="3" s="1"/>
  <c r="S167" i="3"/>
  <c r="Q169" i="3" l="1"/>
  <c r="R169" i="3" s="1"/>
  <c r="S168" i="3"/>
  <c r="T171" i="3"/>
  <c r="U171" i="3" s="1"/>
  <c r="V170" i="3"/>
  <c r="K169" i="3"/>
  <c r="L169" i="3" s="1"/>
  <c r="M168" i="3"/>
  <c r="N170" i="3"/>
  <c r="O170" i="3" s="1"/>
  <c r="P169" i="3"/>
  <c r="P170" i="3" l="1"/>
  <c r="N171" i="3"/>
  <c r="O171" i="3" s="1"/>
  <c r="M169" i="3"/>
  <c r="K170" i="3"/>
  <c r="L170" i="3" s="1"/>
  <c r="V171" i="3"/>
  <c r="T172" i="3"/>
  <c r="U172" i="3" s="1"/>
  <c r="Q170" i="3"/>
  <c r="R170" i="3" s="1"/>
  <c r="S169" i="3"/>
  <c r="S170" i="3" l="1"/>
  <c r="Q171" i="3"/>
  <c r="R171" i="3" s="1"/>
  <c r="T173" i="3"/>
  <c r="U173" i="3" s="1"/>
  <c r="V172" i="3"/>
  <c r="K171" i="3"/>
  <c r="L171" i="3" s="1"/>
  <c r="M170" i="3"/>
  <c r="N172" i="3"/>
  <c r="O172" i="3" s="1"/>
  <c r="P171" i="3"/>
  <c r="P172" i="3" l="1"/>
  <c r="N173" i="3"/>
  <c r="O173" i="3" s="1"/>
  <c r="K172" i="3"/>
  <c r="L172" i="3" s="1"/>
  <c r="M171" i="3"/>
  <c r="V173" i="3"/>
  <c r="T174" i="3"/>
  <c r="U174" i="3" s="1"/>
  <c r="S171" i="3"/>
  <c r="Q172" i="3"/>
  <c r="R172" i="3" s="1"/>
  <c r="S172" i="3" l="1"/>
  <c r="Q173" i="3"/>
  <c r="R173" i="3" s="1"/>
  <c r="V174" i="3"/>
  <c r="T175" i="3"/>
  <c r="U175" i="3" s="1"/>
  <c r="K173" i="3"/>
  <c r="L173" i="3" s="1"/>
  <c r="M172" i="3"/>
  <c r="N174" i="3"/>
  <c r="O174" i="3" s="1"/>
  <c r="P173" i="3"/>
  <c r="N175" i="3" l="1"/>
  <c r="O175" i="3" s="1"/>
  <c r="P174" i="3"/>
  <c r="T176" i="3"/>
  <c r="U176" i="3" s="1"/>
  <c r="V175" i="3"/>
  <c r="M173" i="3"/>
  <c r="K174" i="3"/>
  <c r="L174" i="3" s="1"/>
  <c r="S173" i="3"/>
  <c r="Q174" i="3"/>
  <c r="R174" i="3" s="1"/>
  <c r="K175" i="3" l="1"/>
  <c r="L175" i="3" s="1"/>
  <c r="M174" i="3"/>
  <c r="Q175" i="3"/>
  <c r="R175" i="3" s="1"/>
  <c r="S174" i="3"/>
  <c r="T177" i="3"/>
  <c r="U177" i="3" s="1"/>
  <c r="V176" i="3"/>
  <c r="P175" i="3"/>
  <c r="N176" i="3"/>
  <c r="O176" i="3" s="1"/>
  <c r="V177" i="3" l="1"/>
  <c r="T178" i="3"/>
  <c r="U178" i="3" s="1"/>
  <c r="P176" i="3"/>
  <c r="N177" i="3"/>
  <c r="O177" i="3" s="1"/>
  <c r="Q176" i="3"/>
  <c r="R176" i="3" s="1"/>
  <c r="S175" i="3"/>
  <c r="K176" i="3"/>
  <c r="L176" i="3" s="1"/>
  <c r="M175" i="3"/>
  <c r="K177" i="3" l="1"/>
  <c r="L177" i="3" s="1"/>
  <c r="M176" i="3"/>
  <c r="Q177" i="3"/>
  <c r="R177" i="3" s="1"/>
  <c r="S176" i="3"/>
  <c r="N178" i="3"/>
  <c r="O178" i="3" s="1"/>
  <c r="P177" i="3"/>
  <c r="T179" i="3"/>
  <c r="U179" i="3" s="1"/>
  <c r="V178" i="3"/>
  <c r="Q178" i="3" l="1"/>
  <c r="R178" i="3" s="1"/>
  <c r="S177" i="3"/>
  <c r="T180" i="3"/>
  <c r="U180" i="3" s="1"/>
  <c r="V179" i="3"/>
  <c r="N179" i="3"/>
  <c r="O179" i="3" s="1"/>
  <c r="P178" i="3"/>
  <c r="K178" i="3"/>
  <c r="L178" i="3" s="1"/>
  <c r="M177" i="3"/>
  <c r="M178" i="3" l="1"/>
  <c r="K179" i="3"/>
  <c r="L179" i="3" s="1"/>
  <c r="N180" i="3"/>
  <c r="O180" i="3" s="1"/>
  <c r="P179" i="3"/>
  <c r="T181" i="3"/>
  <c r="U181" i="3" s="1"/>
  <c r="V180" i="3"/>
  <c r="Q179" i="3"/>
  <c r="R179" i="3" s="1"/>
  <c r="S178" i="3"/>
  <c r="N181" i="3" l="1"/>
  <c r="O181" i="3" s="1"/>
  <c r="P180" i="3"/>
  <c r="Q180" i="3"/>
  <c r="R180" i="3" s="1"/>
  <c r="S179" i="3"/>
  <c r="M179" i="3"/>
  <c r="K180" i="3"/>
  <c r="L180" i="3" s="1"/>
  <c r="T182" i="3"/>
  <c r="U182" i="3" s="1"/>
  <c r="V181" i="3"/>
  <c r="T183" i="3" l="1"/>
  <c r="U183" i="3" s="1"/>
  <c r="V182" i="3"/>
  <c r="S180" i="3"/>
  <c r="Q181" i="3"/>
  <c r="R181" i="3" s="1"/>
  <c r="K181" i="3"/>
  <c r="L181" i="3" s="1"/>
  <c r="M180" i="3"/>
  <c r="N182" i="3"/>
  <c r="O182" i="3" s="1"/>
  <c r="P181" i="3"/>
  <c r="N183" i="3" l="1"/>
  <c r="O183" i="3" s="1"/>
  <c r="P182" i="3"/>
  <c r="K182" i="3"/>
  <c r="L182" i="3" s="1"/>
  <c r="M181" i="3"/>
  <c r="Q182" i="3"/>
  <c r="R182" i="3" s="1"/>
  <c r="S181" i="3"/>
  <c r="T184" i="3"/>
  <c r="U184" i="3" s="1"/>
  <c r="V183" i="3"/>
  <c r="M182" i="3" l="1"/>
  <c r="K183" i="3"/>
  <c r="L183" i="3" s="1"/>
  <c r="Q183" i="3"/>
  <c r="R183" i="3" s="1"/>
  <c r="S182" i="3"/>
  <c r="V184" i="3"/>
  <c r="T185" i="3"/>
  <c r="U185" i="3" s="1"/>
  <c r="N184" i="3"/>
  <c r="O184" i="3" s="1"/>
  <c r="P183" i="3"/>
  <c r="T186" i="3" l="1"/>
  <c r="U186" i="3" s="1"/>
  <c r="V185" i="3"/>
  <c r="M183" i="3"/>
  <c r="K184" i="3"/>
  <c r="L184" i="3" s="1"/>
  <c r="N185" i="3"/>
  <c r="O185" i="3" s="1"/>
  <c r="P184" i="3"/>
  <c r="Q184" i="3"/>
  <c r="R184" i="3" s="1"/>
  <c r="S183" i="3"/>
  <c r="N186" i="3" l="1"/>
  <c r="O186" i="3" s="1"/>
  <c r="P185" i="3"/>
  <c r="Q185" i="3"/>
  <c r="R185" i="3" s="1"/>
  <c r="S184" i="3"/>
  <c r="K185" i="3"/>
  <c r="L185" i="3" s="1"/>
  <c r="M184" i="3"/>
  <c r="T187" i="3"/>
  <c r="U187" i="3" s="1"/>
  <c r="V186" i="3"/>
  <c r="S185" i="3" l="1"/>
  <c r="Q186" i="3"/>
  <c r="R186" i="3" s="1"/>
  <c r="K186" i="3"/>
  <c r="L186" i="3" s="1"/>
  <c r="M185" i="3"/>
  <c r="V187" i="3"/>
  <c r="T188" i="3"/>
  <c r="U188" i="3" s="1"/>
  <c r="P186" i="3"/>
  <c r="N187" i="3"/>
  <c r="O187" i="3" s="1"/>
  <c r="P187" i="3" l="1"/>
  <c r="N188" i="3"/>
  <c r="O188" i="3" s="1"/>
  <c r="Q187" i="3"/>
  <c r="R187" i="3" s="1"/>
  <c r="S186" i="3"/>
  <c r="V188" i="3"/>
  <c r="T189" i="3"/>
  <c r="U189" i="3" s="1"/>
  <c r="K187" i="3"/>
  <c r="L187" i="3" s="1"/>
  <c r="M186" i="3"/>
  <c r="M187" i="3" l="1"/>
  <c r="K188" i="3"/>
  <c r="L188" i="3" s="1"/>
  <c r="T190" i="3"/>
  <c r="U190" i="3" s="1"/>
  <c r="V189" i="3"/>
  <c r="Q188" i="3"/>
  <c r="R188" i="3" s="1"/>
  <c r="S187" i="3"/>
  <c r="N189" i="3"/>
  <c r="O189" i="3" s="1"/>
  <c r="P188" i="3"/>
  <c r="N190" i="3" l="1"/>
  <c r="O190" i="3" s="1"/>
  <c r="P189" i="3"/>
  <c r="Q189" i="3"/>
  <c r="R189" i="3" s="1"/>
  <c r="S188" i="3"/>
  <c r="T191" i="3"/>
  <c r="U191" i="3" s="1"/>
  <c r="V190" i="3"/>
  <c r="K189" i="3"/>
  <c r="L189" i="3" s="1"/>
  <c r="M188" i="3"/>
  <c r="M189" i="3" l="1"/>
  <c r="K190" i="3"/>
  <c r="L190" i="3" s="1"/>
  <c r="Q190" i="3"/>
  <c r="R190" i="3" s="1"/>
  <c r="S189" i="3"/>
  <c r="T192" i="3"/>
  <c r="U192" i="3" s="1"/>
  <c r="V191" i="3"/>
  <c r="P190" i="3"/>
  <c r="N191" i="3"/>
  <c r="O191" i="3" s="1"/>
  <c r="N192" i="3" l="1"/>
  <c r="O192" i="3" s="1"/>
  <c r="P191" i="3"/>
  <c r="T193" i="3"/>
  <c r="U193" i="3" s="1"/>
  <c r="V192" i="3"/>
  <c r="Q191" i="3"/>
  <c r="R191" i="3" s="1"/>
  <c r="S190" i="3"/>
  <c r="K191" i="3"/>
  <c r="L191" i="3" s="1"/>
  <c r="M190" i="3"/>
  <c r="K192" i="3" l="1"/>
  <c r="L192" i="3" s="1"/>
  <c r="M191" i="3"/>
  <c r="S191" i="3"/>
  <c r="Q192" i="3"/>
  <c r="R192" i="3" s="1"/>
  <c r="T194" i="3"/>
  <c r="U194" i="3" s="1"/>
  <c r="V193" i="3"/>
  <c r="N193" i="3"/>
  <c r="O193" i="3" s="1"/>
  <c r="P192" i="3"/>
  <c r="T195" i="3" l="1"/>
  <c r="U195" i="3" s="1"/>
  <c r="V194" i="3"/>
  <c r="N194" i="3"/>
  <c r="O194" i="3" s="1"/>
  <c r="P193" i="3"/>
  <c r="Q193" i="3"/>
  <c r="R193" i="3" s="1"/>
  <c r="S192" i="3"/>
  <c r="M192" i="3"/>
  <c r="K193" i="3"/>
  <c r="L193" i="3" s="1"/>
  <c r="N195" i="3" l="1"/>
  <c r="O195" i="3" s="1"/>
  <c r="P194" i="3"/>
  <c r="Q194" i="3"/>
  <c r="R194" i="3" s="1"/>
  <c r="S193" i="3"/>
  <c r="M193" i="3"/>
  <c r="K194" i="3"/>
  <c r="L194" i="3" s="1"/>
  <c r="T196" i="3"/>
  <c r="U196" i="3" s="1"/>
  <c r="V195" i="3"/>
  <c r="M194" i="3" l="1"/>
  <c r="K195" i="3"/>
  <c r="L195" i="3" s="1"/>
  <c r="T197" i="3"/>
  <c r="U197" i="3" s="1"/>
  <c r="V196" i="3"/>
  <c r="S194" i="3"/>
  <c r="Q195" i="3"/>
  <c r="R195" i="3" s="1"/>
  <c r="N196" i="3"/>
  <c r="O196" i="3" s="1"/>
  <c r="P195" i="3"/>
  <c r="N197" i="3" l="1"/>
  <c r="O197" i="3" s="1"/>
  <c r="P196" i="3"/>
  <c r="K196" i="3"/>
  <c r="L196" i="3" s="1"/>
  <c r="M195" i="3"/>
  <c r="Q196" i="3"/>
  <c r="R196" i="3" s="1"/>
  <c r="S195" i="3"/>
  <c r="T198" i="3"/>
  <c r="U198" i="3" s="1"/>
  <c r="V197" i="3"/>
  <c r="V198" i="3" l="1"/>
  <c r="T199" i="3"/>
  <c r="U199" i="3" s="1"/>
  <c r="S196" i="3"/>
  <c r="Q197" i="3"/>
  <c r="R197" i="3" s="1"/>
  <c r="K197" i="3"/>
  <c r="L197" i="3" s="1"/>
  <c r="M196" i="3"/>
  <c r="P197" i="3"/>
  <c r="N198" i="3"/>
  <c r="O198" i="3" s="1"/>
  <c r="M197" i="3" l="1"/>
  <c r="K198" i="3"/>
  <c r="L198" i="3" s="1"/>
  <c r="N199" i="3"/>
  <c r="O199" i="3" s="1"/>
  <c r="P198" i="3"/>
  <c r="Q198" i="3"/>
  <c r="R198" i="3" s="1"/>
  <c r="S197" i="3"/>
  <c r="V199" i="3"/>
  <c r="T200" i="3"/>
  <c r="U200" i="3" s="1"/>
  <c r="T201" i="3" l="1"/>
  <c r="U201" i="3" s="1"/>
  <c r="V201" i="3" s="1"/>
  <c r="V200" i="3"/>
  <c r="Q199" i="3"/>
  <c r="R199" i="3" s="1"/>
  <c r="S198" i="3"/>
  <c r="N200" i="3"/>
  <c r="O200" i="3" s="1"/>
  <c r="P199" i="3"/>
  <c r="K199" i="3"/>
  <c r="L199" i="3" s="1"/>
  <c r="M198" i="3"/>
  <c r="K200" i="3" l="1"/>
  <c r="L200" i="3" s="1"/>
  <c r="M199" i="3"/>
  <c r="P200" i="3"/>
  <c r="N201" i="3"/>
  <c r="O201" i="3" s="1"/>
  <c r="P201" i="3" s="1"/>
  <c r="Q200" i="3"/>
  <c r="R200" i="3" s="1"/>
  <c r="S199" i="3"/>
  <c r="Q201" i="3" l="1"/>
  <c r="R201" i="3" s="1"/>
  <c r="S201" i="3" s="1"/>
  <c r="S200" i="3"/>
  <c r="K201" i="3"/>
  <c r="L201" i="3" s="1"/>
  <c r="M201" i="3" s="1"/>
  <c r="M200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<sst xmlns="http://schemas.openxmlformats.org/spreadsheetml/2006/main" count="161" uniqueCount="61">
  <si>
    <t>Мои банковские накопления</t>
  </si>
  <si>
    <t>Зеленые ячейки — ручной ввод. Серые — автоматические расчеты.</t>
  </si>
  <si>
    <t>Ключевые показатели</t>
  </si>
  <si>
    <t>ВСЕГО НАКОПЛЕНИЙ</t>
  </si>
  <si>
    <t>ОЖИДАЕМАЯ СУММА</t>
  </si>
  <si>
    <t>ПРОГРЕСС ЦЕЛЕЙ</t>
  </si>
  <si>
    <t>Автоматическая проверка</t>
  </si>
  <si>
    <t>Финансовые цели</t>
  </si>
  <si>
    <t>Цель</t>
  </si>
  <si>
    <t>Сумма цели, ₽</t>
  </si>
  <si>
    <t>Уже накоплено, ₽</t>
  </si>
  <si>
    <t>Прогресс</t>
  </si>
  <si>
    <t>Осталось, ₽</t>
  </si>
  <si>
    <t>Желаемая дата</t>
  </si>
  <si>
    <t>Плановый взнос, ₽/мес</t>
  </si>
  <si>
    <t>Дата достижения цели</t>
  </si>
  <si>
    <t>Рекомендуемый взнос, ₽/мес</t>
  </si>
  <si>
    <t>Статус</t>
  </si>
  <si>
    <t>Вклады</t>
  </si>
  <si>
    <t>22</t>
  </si>
  <si>
    <t>Название</t>
  </si>
  <si>
    <t>Банк</t>
  </si>
  <si>
    <t>Сумма вклада, ₽</t>
  </si>
  <si>
    <t>Ставка, % годовых</t>
  </si>
  <si>
    <t>Дата открытия</t>
  </si>
  <si>
    <t>Дата окончания</t>
  </si>
  <si>
    <t>Пополнение, ₽/мес</t>
  </si>
  <si>
    <t>Начисляемый доход, ₽
(с ежемесячной капитализацией)</t>
  </si>
  <si>
    <t>Ожидаемая сумма, ₽
(с ежемесячной капитализацией)</t>
  </si>
  <si>
    <t>Накопительные счета</t>
  </si>
  <si>
    <t>Дата начала расчета</t>
  </si>
  <si>
    <t>Сумма счета на дату начала, ₽</t>
  </si>
  <si>
    <t>Текущая ставка, % годовых 
(Если банк меняет ставку, обновите значение)</t>
  </si>
  <si>
    <t>Способ начисления процентов</t>
  </si>
  <si>
    <t>Плановое пополнение, ₽/мес</t>
  </si>
  <si>
    <t>Прогнозный доход за 12 месяцев, ₽</t>
  </si>
  <si>
    <t>Ожидаемая сумма через 12 месяцев, ₽</t>
  </si>
  <si>
    <t>Прогноз строится на 12 месяцев от указанной даты начала расчета. Укажите в «Сумме счета» остаток именно на эту дату. Снятия не учитываются, ставка считается неизменной, проценты капитализируются ежемесячно.</t>
  </si>
  <si>
    <t>Вычисления налога на доходы 
(вклады и накопительные счета)</t>
  </si>
  <si>
    <t>Максимальная ключевая ставка на 1-е число месяца в 2026 году</t>
  </si>
  <si>
    <t>НДФЛ</t>
  </si>
  <si>
    <t>Доход за 2026 год</t>
  </si>
  <si>
    <t xml:space="preserve">Налог за 2026  </t>
  </si>
  <si>
    <t>Технический расчет накопительных счетов</t>
  </si>
  <si>
    <t>Технический расчет вкладов</t>
  </si>
  <si>
    <t>Назначение листа: помесячная проверка прогноза за 12 месяцев, капитализации процентов и влияния плановых пополнений.</t>
  </si>
  <si>
    <t>Расчет по каждому вкладу независимый: проценты считаются по календарным дням, дневной процент округляется вниз до копеек; ежемесячные пополнения и капитализированные проценты начинают участвовать в базе со следующего дня. Общих коэффициентов подгонки нет.</t>
  </si>
  <si>
    <t>Расчет автоматически следует за строками первого листа. Если строка добавляется внутри таблицы вкладов или накопительных счетов, техлист подхватывает ее по порядку. Подготовлено до 10 продуктов каждого типа.</t>
  </si>
  <si>
    <t>При ежедневном остатке пополнение входит в процентную базу текущего периода; при минимальном остатке за месяц — только со следующего периода. Проценты капитализируются в конце каждого расчетного периода.</t>
  </si>
  <si>
    <t>Начало периода</t>
  </si>
  <si>
    <t>Конец периода</t>
  </si>
  <si>
    <t>Начислено процентов, ₽</t>
  </si>
  <si>
    <t>Остаток на конец, ₽</t>
  </si>
  <si>
    <t>Месяц</t>
  </si>
  <si>
    <t>Остаток на начало, ₽</t>
  </si>
  <si>
    <t>Пополнение, ₽</t>
  </si>
  <si>
    <t>База для процентов, ₽</t>
  </si>
  <si>
    <t>Дней</t>
  </si>
  <si>
    <t>Итого за 12 месяцев</t>
  </si>
  <si>
    <t>—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</si>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</sst>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&quot;₽&quot;"/>
    <numFmt numFmtId="165" formatCode="dd\.mm\.yyyy"/>
    <numFmt numFmtId="166" formatCode="0.0%"/>
    <numFmt numFmtId="167" formatCode="#,##0.00\ &quot;₽&quot;;[Red]\(#,##0.00\ &quot;₽&quot;\);\-"/>
    <numFmt numFmtId="168" formatCode="#,##0\ &quot;₽&quot;;[Red]\(#,##0\ &quot;₽&quot;\);\-"/>
    <numFmt numFmtId="169" formatCode="0.000000%"/>
    <numFmt numFmtId="170" formatCode="#,##0;[Red]\(#,##0\);\-"/>
  </numFmts>
  <fonts count="31" x14ac:knownFonts="1">
    <font>
      <sz val="10"/>
      <color rgb="FF000000"/>
      <name val="Montserrat"/>
    </font>
    <font>
      <b/>
      <sz val="24"/>
      <color rgb="FFFFFFFF"/>
      <name val="Montserrat"/>
    </font>
    <font>
      <b/>
      <sz val="33"/>
      <color rgb="FFFFFFFF"/>
      <name val="Montserrat"/>
    </font>
    <font>
      <b/>
      <sz val="15"/>
      <color rgb="FFFFFFFF"/>
      <name val="Montserrat"/>
    </font>
    <font>
      <b/>
      <sz val="18"/>
      <color rgb="FFFFFFFF"/>
      <name val="Montserrat"/>
    </font>
    <font>
      <b/>
      <sz val="32"/>
      <color rgb="FFFFFFFF"/>
      <name val="Montserrat"/>
    </font>
    <font>
      <i/>
      <sz val="15"/>
      <color rgb="FF173740"/>
      <name val="Montserrat"/>
    </font>
    <font>
      <sz val="10"/>
      <color rgb="FF173740"/>
      <name val="Montserrat"/>
    </font>
    <font>
      <b/>
      <sz val="11"/>
      <color rgb="FFFFFFFF"/>
      <name val="Montserrat"/>
    </font>
    <font>
      <b/>
      <sz val="9"/>
      <color rgb="FFFFFFFF"/>
      <name val="Montserrat"/>
    </font>
    <font>
      <b/>
      <sz val="15"/>
      <color rgb="FF173740"/>
      <name val="Montserrat"/>
    </font>
    <font>
      <b/>
      <sz val="11"/>
      <color rgb="FF173740"/>
      <name val="Montserrat"/>
    </font>
    <font>
      <b/>
      <sz val="9"/>
      <color rgb="FF173740"/>
      <name val="Montserrat"/>
    </font>
    <font>
      <sz val="11"/>
      <color rgb="FF173740"/>
      <name val="Montserrat"/>
    </font>
    <font>
      <sz val="9"/>
      <color rgb="FF173740"/>
      <name val="Montserrat"/>
    </font>
    <font>
      <sz val="10"/>
      <color theme="1"/>
      <name val="Montserrat"/>
    </font>
    <font>
      <sz val="11"/>
      <color theme="1"/>
      <name val="Montserrat"/>
    </font>
    <font>
      <b/>
      <sz val="11"/>
      <color theme="1"/>
      <name val="Montserrat"/>
    </font>
    <font>
      <sz val="10"/>
      <color rgb="FF173740"/>
      <name val="Montserrat"/>
    </font>
    <font>
      <sz val="10"/>
      <color theme="1"/>
      <name val="Montserrat"/>
    </font>
    <font>
      <b/>
      <sz val="13"/>
      <color rgb="FFFFFFFF"/>
      <name val="Montserrat"/>
    </font>
    <font>
      <sz val="10"/>
      <name val="Montserrat"/>
    </font>
    <font>
      <b/>
      <sz val="10"/>
      <color rgb="FFFFFFFF"/>
      <name val="Montserrat"/>
    </font>
    <font>
      <sz val="10"/>
      <color rgb="FF173840"/>
      <name val="Montserrat"/>
    </font>
    <font>
      <sz val="10"/>
      <color rgb="FF000000"/>
      <name val="Montserrat"/>
    </font>
    <font>
      <b/>
      <sz val="9"/>
      <color rgb="FF173840"/>
      <name val="Montserrat"/>
    </font>
    <font>
      <sz val="9"/>
      <color rgb="FF173840"/>
      <name val="Montserrat"/>
    </font>
    <font>
      <i/>
      <sz val="9"/>
      <color rgb="FF173840"/>
      <name val="Montserrat"/>
    </font>
    <font>
      <b/>
      <sz val="16"/>
      <color rgb="FFFFFFFF"/>
      <name val="Montserrat"/>
    </font>
    <font>
      <b/>
      <sz val="14"/>
      <color rgb="FFFFFFFF"/>
      <name val="Montserrat"/>
    </font>
    <font>
      <sz val="8"/>
      <color rgb="FF000000"/>
      <name val="Montserrat"/>
    </font>
  </fonts>
  <fills count="20">
    <fill>
      <patternFill patternType="none"/>
    </fill>
    <fill>
      <patternFill patternType="gray125"/>
    </fill>
    <fill>
      <patternFill patternType="solid">
        <fgColor rgb="FF537345"/>
      </patternFill>
    </fill>
    <fill>
      <patternFill patternType="solid">
        <fgColor rgb="FFFFFFFF"/>
      </patternFill>
    </fill>
    <fill>
      <patternFill patternType="solid">
        <fgColor rgb="FFDDE6DA"/>
      </patternFill>
    </fill>
    <fill>
      <patternFill patternType="solid">
        <fgColor rgb="FF173740"/>
      </patternFill>
    </fill>
    <fill>
      <patternFill patternType="solid">
        <fgColor rgb="FFEFEFEF"/>
      </patternFill>
    </fill>
    <fill>
      <patternFill patternType="solid">
        <fgColor rgb="FFEDD094"/>
      </patternFill>
    </fill>
    <fill>
      <patternFill patternType="solid">
        <fgColor theme="8"/>
      </patternFill>
    </fill>
    <fill>
      <patternFill patternType="solid">
        <fgColor rgb="FFDDE6DB"/>
      </patternFill>
    </fill>
    <fill>
      <patternFill patternType="solid">
        <fgColor rgb="FF173740"/>
      </patternFill>
    </fill>
    <fill>
      <patternFill patternType="solid">
        <fgColor rgb="FF173840"/>
      </patternFill>
    </fill>
    <fill>
      <patternFill patternType="solid">
        <fgColor rgb="FFEFEFEF"/>
      </patternFill>
    </fill>
    <fill>
      <patternFill patternType="solid">
        <fgColor rgb="FF173840"/>
      </patternFill>
    </fill>
    <fill>
      <patternFill patternType="solid">
        <fgColor rgb="FFDDE6DB"/>
      </patternFill>
    </fill>
    <fill>
      <patternFill patternType="solid">
        <fgColor rgb="FFEFEFEF"/>
      </patternFill>
    </fill>
    <fill>
      <patternFill patternType="solid">
        <fgColor rgb="FFEED195"/>
      </patternFill>
    </fill>
    <fill>
      <patternFill patternType="solid">
        <fgColor rgb="FF537446"/>
      </patternFill>
    </fill>
    <fill>
      <patternFill patternType="solid">
        <fgColor rgb="FFDDE6DA"/>
      </patternFill>
    </fill>
    <fill>
      <patternFill patternType="solid">
        <fgColor rgb="FFEFEFEF"/>
      </patternFill>
    </fill>
  </fills>
  <borders count="9">
    <border>
      <left/>
      <right/>
      <top/>
      <bottom/>
      <diagonal/>
    </border>
    <border>
      <left style="thin">
        <color rgb="FFD1D8CC"/>
      </left>
      <right style="thin">
        <color rgb="FFD1D8CC"/>
      </right>
      <top style="thin">
        <color rgb="FFD1D8CC"/>
      </top>
      <bottom style="thin">
        <color rgb="FFD1D8CC"/>
      </bottom>
      <diagonal/>
    </border>
    <border>
      <left style="thin">
        <color rgb="FFD6D6D6"/>
      </left>
      <right style="thin">
        <color rgb="FFD6D6D6"/>
      </right>
      <top style="thin">
        <color rgb="FFD6D6D6"/>
      </top>
      <bottom style="thin">
        <color rgb="FFD6D6D6"/>
      </bottom>
      <diagonal/>
    </border>
    <border>
      <left style="thin">
        <color rgb="FFD6D6D6"/>
      </left>
      <right/>
      <top style="thin">
        <color rgb="FFD6D6D6"/>
      </top>
      <bottom style="thin">
        <color rgb="FFD6D6D6"/>
      </bottom>
      <diagonal/>
    </border>
    <border>
      <left/>
      <right/>
      <top style="thin">
        <color rgb="FFD6D6D6"/>
      </top>
      <bottom style="thin">
        <color rgb="FFD6D6D6"/>
      </bottom>
      <diagonal/>
    </border>
    <border>
      <left/>
      <right style="thin">
        <color rgb="FFD6D6D6"/>
      </right>
      <top style="thin">
        <color rgb="FFD6D6D6"/>
      </top>
      <bottom style="thin">
        <color rgb="FFD6D6D6"/>
      </bottom>
      <diagonal/>
    </border>
    <border>
      <left style="thin">
        <color rgb="FFD1D8CC"/>
      </left>
      <right/>
      <top style="thin">
        <color rgb="FFD1D8CC"/>
      </top>
      <bottom style="thin">
        <color rgb="FFD1D8CC"/>
      </bottom>
      <diagonal/>
    </border>
    <border>
      <left/>
      <right/>
      <top style="thin">
        <color rgb="FFD1D8CC"/>
      </top>
      <bottom style="thin">
        <color rgb="FFD1D8CC"/>
      </bottom>
      <diagonal/>
    </border>
    <border>
      <left/>
      <right style="thin">
        <color rgb="FFD1D8CC"/>
      </right>
      <top style="thin">
        <color rgb="FFD1D8CC"/>
      </top>
      <bottom style="thin">
        <color rgb="FFD1D8CC"/>
      </bottom>
      <diagonal/>
    </border>
  </borders>
  <cellStyleXfs count="2">
    <xf numFmtId="0" fontId="0" fillId="0" borderId="0"/>
    <xf numFmtId="0" fontId="24" fillId="0" borderId="0"/>
  </cellStyleXfs>
  <cellXfs count="107">
    <xf numFmtId="0" fontId="0" fillId="0" borderId="0" xfId="0"/>
    <xf numFmtId="0" fontId="3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9" fontId="10" fillId="0" borderId="0" xfId="1" applyNumberFormat="1" applyFont="1" applyAlignment="1">
      <alignment horizontal="center" vertical="center" wrapText="1"/>
    </xf>
    <xf numFmtId="164" fontId="10" fillId="0" borderId="0" xfId="1" applyNumberFormat="1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3" fillId="5" borderId="0" xfId="1" applyFont="1" applyFill="1" applyAlignment="1">
      <alignment horizontal="left" vertical="center" wrapText="1"/>
    </xf>
    <xf numFmtId="0" fontId="8" fillId="5" borderId="0" xfId="1" applyFont="1" applyFill="1" applyAlignment="1">
      <alignment horizontal="center" vertical="center" wrapText="1"/>
    </xf>
    <xf numFmtId="0" fontId="17" fillId="7" borderId="2" xfId="1" applyFont="1" applyFill="1" applyBorder="1" applyAlignment="1">
      <alignment horizontal="center" wrapText="1"/>
    </xf>
    <xf numFmtId="0" fontId="18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8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19" fillId="3" borderId="0" xfId="1" applyFont="1" applyFill="1"/>
    <xf numFmtId="0" fontId="18" fillId="3" borderId="0" xfId="1" applyFont="1" applyFill="1" applyAlignment="1">
      <alignment vertical="center" wrapText="1"/>
    </xf>
    <xf numFmtId="164" fontId="18" fillId="3" borderId="0" xfId="1" applyNumberFormat="1" applyFont="1" applyFill="1" applyAlignment="1">
      <alignment vertical="center" wrapText="1"/>
    </xf>
    <xf numFmtId="0" fontId="7" fillId="3" borderId="0" xfId="1" applyFont="1" applyFill="1" applyAlignment="1">
      <alignment vertical="center" wrapText="1"/>
    </xf>
    <xf numFmtId="164" fontId="7" fillId="3" borderId="0" xfId="1" applyNumberFormat="1" applyFont="1" applyFill="1" applyAlignment="1">
      <alignment vertical="center" wrapText="1"/>
    </xf>
    <xf numFmtId="0" fontId="13" fillId="4" borderId="1" xfId="1" applyFont="1" applyFill="1" applyBorder="1" applyAlignment="1">
      <alignment vertical="center" wrapText="1"/>
    </xf>
    <xf numFmtId="164" fontId="13" fillId="4" borderId="1" xfId="1" applyNumberFormat="1" applyFont="1" applyFill="1" applyBorder="1" applyAlignment="1">
      <alignment horizontal="right" vertical="center" wrapText="1"/>
    </xf>
    <xf numFmtId="166" fontId="13" fillId="4" borderId="1" xfId="1" applyNumberFormat="1" applyFont="1" applyFill="1" applyBorder="1" applyAlignment="1">
      <alignment horizontal="right" vertical="center" wrapText="1"/>
    </xf>
    <xf numFmtId="165" fontId="13" fillId="4" borderId="1" xfId="1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164" fontId="20" fillId="0" borderId="0" xfId="1" applyNumberFormat="1" applyFont="1" applyAlignment="1">
      <alignment horizontal="center" vertical="center" wrapText="1"/>
    </xf>
    <xf numFmtId="0" fontId="8" fillId="5" borderId="0" xfId="1" applyFont="1" applyFill="1" applyAlignment="1">
      <alignment horizontal="right" vertical="center" wrapText="1"/>
    </xf>
    <xf numFmtId="0" fontId="8" fillId="10" borderId="0" xfId="0" applyFont="1" applyFill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167" fontId="13" fillId="4" borderId="1" xfId="0" applyNumberFormat="1" applyFont="1" applyFill="1" applyBorder="1" applyAlignment="1">
      <alignment horizontal="right" vertical="center" wrapText="1"/>
    </xf>
    <xf numFmtId="10" fontId="13" fillId="4" borderId="1" xfId="0" applyNumberFormat="1" applyFont="1" applyFill="1" applyBorder="1" applyAlignment="1">
      <alignment horizontal="right" vertical="center" wrapText="1"/>
    </xf>
    <xf numFmtId="165" fontId="13" fillId="4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17" borderId="0" xfId="0" applyFont="1" applyFill="1" applyAlignment="1">
      <alignment vertical="center" wrapText="1"/>
    </xf>
    <xf numFmtId="165" fontId="0" fillId="0" borderId="0" xfId="0" applyNumberFormat="1" applyAlignment="1">
      <alignment vertical="center" wrapText="1"/>
    </xf>
    <xf numFmtId="167" fontId="0" fillId="0" borderId="0" xfId="0" applyNumberFormat="1" applyAlignment="1">
      <alignment vertical="center" wrapText="1"/>
    </xf>
    <xf numFmtId="0" fontId="9" fillId="13" borderId="0" xfId="0" applyFont="1" applyFill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167" fontId="25" fillId="6" borderId="0" xfId="0" applyNumberFormat="1" applyFont="1" applyFill="1" applyAlignment="1">
      <alignment vertical="center" wrapText="1"/>
    </xf>
    <xf numFmtId="1" fontId="25" fillId="6" borderId="0" xfId="0" applyNumberFormat="1" applyFont="1" applyFill="1" applyAlignment="1">
      <alignment vertical="center" wrapText="1"/>
    </xf>
    <xf numFmtId="0" fontId="30" fillId="0" borderId="0" xfId="0" applyFont="1"/>
    <xf numFmtId="169" fontId="30" fillId="0" borderId="0" xfId="0" applyNumberFormat="1" applyFont="1"/>
    <xf numFmtId="168" fontId="16" fillId="6" borderId="2" xfId="0" applyNumberFormat="1" applyFont="1" applyFill="1" applyBorder="1" applyAlignment="1">
      <alignment horizontal="right" vertical="center" wrapText="1"/>
    </xf>
    <xf numFmtId="0" fontId="16" fillId="4" borderId="1" xfId="1" applyFont="1" applyFill="1" applyBorder="1" applyAlignment="1">
      <alignment vertical="center" wrapText="1"/>
    </xf>
    <xf numFmtId="164" fontId="16" fillId="4" borderId="1" xfId="1" applyNumberFormat="1" applyFont="1" applyFill="1" applyBorder="1" applyAlignment="1">
      <alignment horizontal="right" vertical="center" wrapText="1"/>
    </xf>
    <xf numFmtId="9" fontId="16" fillId="2" borderId="2" xfId="0" applyNumberFormat="1" applyFont="1" applyFill="1" applyBorder="1" applyAlignment="1">
      <alignment horizontal="center" vertical="center" wrapText="1"/>
    </xf>
    <xf numFmtId="165" fontId="16" fillId="4" borderId="1" xfId="0" applyNumberFormat="1" applyFont="1" applyFill="1" applyBorder="1" applyAlignment="1">
      <alignment horizontal="center" vertical="center" wrapText="1"/>
    </xf>
    <xf numFmtId="168" fontId="16" fillId="4" borderId="1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9" fontId="16" fillId="7" borderId="2" xfId="0" applyNumberFormat="1" applyFont="1" applyFill="1" applyBorder="1" applyAlignment="1">
      <alignment horizontal="center" vertical="center" wrapText="1"/>
    </xf>
    <xf numFmtId="9" fontId="16" fillId="6" borderId="2" xfId="0" applyNumberFormat="1" applyFont="1" applyFill="1" applyBorder="1" applyAlignment="1">
      <alignment horizontal="center" vertical="center" wrapText="1"/>
    </xf>
    <xf numFmtId="170" fontId="15" fillId="3" borderId="0" xfId="0" applyNumberFormat="1" applyFont="1" applyFill="1"/>
    <xf numFmtId="170" fontId="22" fillId="11" borderId="0" xfId="0" applyNumberFormat="1" applyFont="1" applyFill="1" applyAlignment="1">
      <alignment horizontal="center" vertical="center" wrapText="1"/>
    </xf>
    <xf numFmtId="0" fontId="16" fillId="18" borderId="1" xfId="0" applyFont="1" applyFill="1" applyBorder="1" applyAlignment="1">
      <alignment vertical="center" wrapText="1"/>
    </xf>
    <xf numFmtId="164" fontId="16" fillId="18" borderId="1" xfId="0" applyNumberFormat="1" applyFont="1" applyFill="1" applyBorder="1" applyAlignment="1">
      <alignment vertical="center" wrapText="1"/>
    </xf>
    <xf numFmtId="168" fontId="16" fillId="19" borderId="2" xfId="0" applyNumberFormat="1" applyFont="1" applyFill="1" applyBorder="1" applyAlignment="1">
      <alignment horizontal="right" vertical="center" wrapText="1"/>
    </xf>
    <xf numFmtId="9" fontId="16" fillId="19" borderId="2" xfId="0" applyNumberFormat="1" applyFont="1" applyFill="1" applyBorder="1" applyAlignment="1">
      <alignment horizontal="center" vertical="center" wrapText="1"/>
    </xf>
    <xf numFmtId="165" fontId="16" fillId="18" borderId="1" xfId="0" applyNumberFormat="1" applyFont="1" applyFill="1" applyBorder="1" applyAlignment="1">
      <alignment horizontal="center" vertical="center" wrapText="1"/>
    </xf>
    <xf numFmtId="168" fontId="16" fillId="18" borderId="1" xfId="0" applyNumberFormat="1" applyFont="1" applyFill="1" applyBorder="1" applyAlignment="1">
      <alignment horizontal="right" vertical="center" wrapText="1"/>
    </xf>
    <xf numFmtId="165" fontId="16" fillId="19" borderId="2" xfId="0" applyNumberFormat="1" applyFont="1" applyFill="1" applyBorder="1" applyAlignment="1">
      <alignment horizontal="center" vertical="center" wrapText="1"/>
    </xf>
    <xf numFmtId="0" fontId="17" fillId="19" borderId="2" xfId="0" applyFont="1" applyFill="1" applyBorder="1" applyAlignment="1">
      <alignment horizontal="center" wrapText="1"/>
    </xf>
    <xf numFmtId="0" fontId="27" fillId="12" borderId="0" xfId="0" applyFont="1" applyFill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3" fillId="5" borderId="0" xfId="1" applyFont="1" applyFill="1" applyAlignment="1">
      <alignment horizontal="left" vertical="center" wrapText="1"/>
    </xf>
    <xf numFmtId="170" fontId="3" fillId="5" borderId="0" xfId="0" applyNumberFormat="1" applyFont="1" applyFill="1" applyAlignment="1">
      <alignment horizontal="left" vertical="center" wrapText="1"/>
    </xf>
    <xf numFmtId="170" fontId="13" fillId="9" borderId="3" xfId="0" applyNumberFormat="1" applyFont="1" applyFill="1" applyBorder="1" applyAlignment="1">
      <alignment horizontal="right" vertical="center" wrapText="1"/>
    </xf>
    <xf numFmtId="0" fontId="21" fillId="0" borderId="4" xfId="1" applyFont="1" applyBorder="1"/>
    <xf numFmtId="0" fontId="21" fillId="0" borderId="5" xfId="1" applyFont="1" applyBorder="1"/>
    <xf numFmtId="170" fontId="11" fillId="4" borderId="6" xfId="0" applyNumberFormat="1" applyFont="1" applyFill="1" applyBorder="1" applyAlignment="1">
      <alignment horizontal="right" vertical="center" wrapText="1"/>
    </xf>
    <xf numFmtId="0" fontId="21" fillId="0" borderId="7" xfId="1" applyFont="1" applyBorder="1"/>
    <xf numFmtId="0" fontId="21" fillId="0" borderId="8" xfId="1" applyFont="1" applyBorder="1"/>
    <xf numFmtId="0" fontId="0" fillId="0" borderId="0" xfId="0"/>
    <xf numFmtId="0" fontId="8" fillId="5" borderId="0" xfId="1" applyFont="1" applyFill="1" applyAlignment="1">
      <alignment horizontal="center" vertical="center" wrapText="1"/>
    </xf>
    <xf numFmtId="9" fontId="11" fillId="8" borderId="0" xfId="1" applyNumberFormat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164" fontId="10" fillId="6" borderId="0" xfId="1" applyNumberFormat="1" applyFont="1" applyFill="1" applyAlignment="1">
      <alignment horizontal="center" vertical="center" wrapText="1"/>
    </xf>
    <xf numFmtId="0" fontId="18" fillId="3" borderId="0" xfId="1" applyFont="1" applyFill="1" applyAlignment="1">
      <alignment vertical="center" wrapText="1"/>
    </xf>
    <xf numFmtId="9" fontId="10" fillId="6" borderId="0" xfId="1" applyNumberFormat="1" applyFont="1" applyFill="1" applyAlignment="1">
      <alignment horizontal="center" vertical="center" wrapText="1"/>
    </xf>
    <xf numFmtId="0" fontId="11" fillId="7" borderId="0" xfId="1" applyFont="1" applyFill="1" applyAlignment="1">
      <alignment horizontal="left" vertical="center" wrapText="1"/>
    </xf>
    <xf numFmtId="0" fontId="13" fillId="6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center" vertical="center" wrapText="1"/>
    </xf>
    <xf numFmtId="0" fontId="3" fillId="5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6" fillId="4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28" fillId="13" borderId="0" xfId="0" applyFont="1" applyFill="1" applyAlignment="1">
      <alignment vertical="center" wrapText="1"/>
    </xf>
    <xf numFmtId="0" fontId="23" fillId="14" borderId="0" xfId="0" applyFont="1" applyFill="1" applyAlignment="1">
      <alignment vertical="center" wrapText="1"/>
    </xf>
    <xf numFmtId="0" fontId="23" fillId="15" borderId="0" xfId="0" applyFont="1" applyFill="1" applyAlignment="1">
      <alignment vertical="center" wrapText="1"/>
    </xf>
    <xf numFmtId="0" fontId="23" fillId="16" borderId="0" xfId="0" applyFont="1" applyFill="1" applyAlignment="1">
      <alignment vertical="center" wrapText="1"/>
    </xf>
    <xf numFmtId="0" fontId="8" fillId="17" borderId="0" xfId="0" applyFont="1" applyFill="1" applyAlignment="1">
      <alignment vertical="center" wrapText="1"/>
    </xf>
    <xf numFmtId="0" fontId="29" fillId="13" borderId="0" xfId="0" applyFont="1" applyFill="1" applyAlignment="1">
      <alignment vertical="center" wrapText="1"/>
    </xf>
    <xf numFmtId="0" fontId="26" fillId="14" borderId="0" xfId="0" applyFont="1" applyFill="1" applyAlignment="1">
      <alignment vertical="center" wrapText="1"/>
    </xf>
    <xf numFmtId="0" fontId="9" fillId="17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5" fillId="15" borderId="0" xfId="0" applyFont="1" applyFill="1" applyAlignment="1">
      <alignment vertical="center" wrapText="1"/>
    </xf>
    <xf numFmtId="167" fontId="25" fillId="6" borderId="0" xfId="0" applyNumberFormat="1" applyFont="1" applyFill="1" applyAlignment="1">
      <alignment vertical="center" wrapText="1"/>
    </xf>
  </cellXfs>
  <cellStyles count="2">
    <cellStyle name="Обычный" xfId="0" builtinId="0"/>
    <cellStyle name="Normal" xfId="1" xr:uid="{00000000-0005-0000-0000-000001000000}"/>
  </cellStyles>
  <dxfs count="10">
    <dxf>
      <font>
        <b/>
      </font>
      <fill>
        <patternFill patternType="solid">
          <bgColor rgb="FFEDD094"/>
        </patternFill>
      </fill>
    </dxf>
    <dxf>
      <font>
        <b/>
        <color rgb="FFFFFFFF"/>
      </font>
      <fill>
        <patternFill patternType="solid">
          <bgColor rgb="FF53734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EDD094"/>
        </patternFill>
      </fill>
    </dxf>
    <dxf>
      <fill>
        <patternFill patternType="solid">
          <bgColor rgb="FF537345"/>
        </patternFill>
      </fill>
    </dxf>
    <dxf>
      <font>
        <u val="none"/>
        <sz val="11"/>
        <color theme="1"/>
        <name val="Montserrat"/>
        <scheme val="none"/>
      </font>
      <numFmt numFmtId="168" formatCode="#,##0\ &quot;₽&quot;;[Red]\(#,##0\ &quot;₽&quot;\);\-"/>
      <fill>
        <patternFill>
          <bgColor indexed="64"/>
        </patternFill>
      </fill>
      <border>
        <left style="thin">
          <color rgb="FFD6D6D6"/>
        </left>
        <right style="thin">
          <color rgb="FFD6D6D6"/>
        </right>
        <top style="thin">
          <color rgb="FFD6D6D6"/>
        </top>
        <bottom style="thin">
          <color rgb="FFD6D6D6"/>
        </bottom>
      </border>
    </dxf>
    <dxf>
      <font>
        <u val="none"/>
        <sz val="11"/>
        <color theme="1"/>
        <name val="Montserrat"/>
        <scheme val="none"/>
      </font>
      <numFmt numFmtId="168" formatCode="#,##0\ &quot;₽&quot;;[Red]\(#,##0\ &quot;₽&quot;\);\-"/>
      <fill>
        <patternFill>
          <bgColor indexed="64"/>
        </patternFill>
      </fill>
      <border>
        <left style="thin">
          <color rgb="FFD6D6D6"/>
        </left>
        <right style="thin">
          <color rgb="FFD6D6D6"/>
        </right>
        <top style="thin">
          <color rgb="FFD6D6D6"/>
        </top>
        <bottom style="thin">
          <color rgb="FFD6D6D6"/>
        </bottom>
      </border>
    </dxf>
    <dxf>
      <numFmt numFmtId="170" formatCode="#,##0;[Red]\(#,##0\);\-"/>
      <border>
        <left style="thin">
          <color rgb="FFD6D6D6"/>
        </left>
      </border>
    </dxf>
    <dxf>
      <numFmt numFmtId="170" formatCode="#,##0;[Red]\(#,##0\);\-"/>
      <border>
        <right style="thin">
          <color rgb="FFD6D6D6"/>
        </right>
      </border>
    </dxf>
    <dxf>
      <border>
        <right style="thin">
          <color rgb="FFD6D6D6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435890</xdr:colOff>
      <xdr:row>0</xdr:row>
      <xdr:rowOff>129152</xdr:rowOff>
    </xdr:from>
    <xdr:ext cx="3696991" cy="1346187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positsTable" displayName="DepositsTable" ref="A21:I27" totalsRowShown="0">
  <tableColumns count="9">
    <tableColumn id="1" xr3:uid="{00000000-0010-0000-0000-000001000000}" name="Название"/>
    <tableColumn id="2" xr3:uid="{00000000-0010-0000-0000-000002000000}" name="Банк"/>
    <tableColumn id="3" xr3:uid="{00000000-0010-0000-0000-000003000000}" name="Сумма вклада, ₽"/>
    <tableColumn id="4" xr3:uid="{00000000-0010-0000-0000-000004000000}" name="Ставка, % годовых"/>
    <tableColumn id="5" xr3:uid="{00000000-0010-0000-0000-000005000000}" name="Дата открытия"/>
    <tableColumn id="6" xr3:uid="{00000000-0010-0000-0000-000006000000}" name="Дата окончания"/>
    <tableColumn id="7" xr3:uid="{00000000-0010-0000-0000-000007000000}" name="Пополнение, ₽/мес" dataDxfId="9"/>
    <tableColumn id="8" xr3:uid="{00000000-0010-0000-0000-000008000000}" name="Начисляемый доход, ₽_x000a_(с ежемесячной капитализацией)" dataDxfId="8">
      <calculatedColumnFormula>IF(A22="","",IFERROR(INDEX(Расчеты!$M$67:$BF$67,1,1+5*(ROW()-MATCH("Вклады",$A:$A,0)-2)),""))</calculatedColumnFormula>
    </tableColumn>
    <tableColumn id="9" xr3:uid="{00000000-0010-0000-0000-000009000000}" name="Ожидаемая сумма, ₽_x000a_(с ежемесячной капитализацией)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avingsTable" displayName="SavingsTable" ref="A30:I36" totalsRowShown="0">
  <tableColumns count="9">
    <tableColumn id="1" xr3:uid="{00000000-0010-0000-0100-000001000000}" name="Название"/>
    <tableColumn id="2" xr3:uid="{00000000-0010-0000-0100-000002000000}" name="Банк"/>
    <tableColumn id="3" xr3:uid="{00000000-0010-0000-0100-000003000000}" name="Дата начала расчета"/>
    <tableColumn id="4" xr3:uid="{00000000-0010-0000-0100-000004000000}" name="Сумма счета на дату начала, ₽"/>
    <tableColumn id="5" xr3:uid="{00000000-0010-0000-0100-000005000000}" name="Текущая ставка, % годовых _x000a_(Если банк меняет ставку, обновите значение)"/>
    <tableColumn id="6" xr3:uid="{00000000-0010-0000-0100-000006000000}" name="Способ начисления процентов"/>
    <tableColumn id="7" xr3:uid="{00000000-0010-0000-0100-000007000000}" name="Плановое пополнение, ₽/мес"/>
    <tableColumn id="8" xr3:uid="{00000000-0010-0000-0100-000008000000}" name="Прогнозный доход за 12 месяцев, ₽" dataDxfId="6"/>
    <tableColumn id="9" xr3:uid="{00000000-0010-0000-0100-000009000000}" name="Ожидаемая сумма через 12 месяцев, ₽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173740"/>
      </a:dk1>
      <a:lt1>
        <a:srgbClr val="FFFFFF"/>
      </a:lt1>
      <a:dk2>
        <a:srgbClr val="173740"/>
      </a:dk2>
      <a:lt2>
        <a:srgbClr val="FFFFFF"/>
      </a:lt2>
      <a:accent1>
        <a:srgbClr val="537345"/>
      </a:accent1>
      <a:accent2>
        <a:srgbClr val="173740"/>
      </a:accent2>
      <a:accent3>
        <a:srgbClr val="DDE6DA"/>
      </a:accent3>
      <a:accent4>
        <a:srgbClr val="EDD094"/>
      </a:accent4>
      <a:accent5>
        <a:srgbClr val="EFEFEF"/>
      </a:accent5>
      <a:accent6>
        <a:srgbClr val="537345"/>
      </a:accent6>
      <a:hlink>
        <a:srgbClr val="173740"/>
      </a:hlink>
      <a:folHlink>
        <a:srgbClr val="17374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37345"/>
  </sheetPr>
  <dimension ref="A1:O115"/>
  <sheetViews>
    <sheetView showGridLines="0" topLeftCell="A12" zoomScale="59" workbookViewId="0">
      <selection activeCell="A31" sqref="A31:G36"/>
    </sheetView>
  </sheetViews>
  <sheetFormatPr baseColWidth="10" defaultColWidth="14.42578125" defaultRowHeight="14" x14ac:dyDescent="0.2"/>
  <cols>
    <col min="1" max="1" width="26.28515625" customWidth="1"/>
    <col min="2" max="2" width="26.85546875" customWidth="1"/>
    <col min="3" max="3" width="21.28515625" customWidth="1"/>
    <col min="4" max="4" width="28" customWidth="1"/>
    <col min="5" max="5" width="48.42578125" customWidth="1"/>
    <col min="6" max="6" width="23" customWidth="1"/>
    <col min="7" max="7" width="20" customWidth="1"/>
    <col min="8" max="8" width="31.28515625" customWidth="1"/>
    <col min="9" max="9" width="29.7109375" customWidth="1"/>
    <col min="10" max="10" width="31" customWidth="1"/>
    <col min="11" max="11" width="31.28515625" hidden="1" customWidth="1"/>
    <col min="12" max="12" width="16.5703125" hidden="1" customWidth="1"/>
    <col min="13" max="13" width="24.42578125" hidden="1" customWidth="1"/>
    <col min="14" max="15" width="24.42578125" customWidth="1"/>
  </cols>
  <sheetData>
    <row r="1" spans="1:15" ht="125.25" customHeight="1" x14ac:dyDescent="0.2">
      <c r="A1" s="91"/>
      <c r="B1" s="82"/>
      <c r="C1" s="93" t="s">
        <v>0</v>
      </c>
      <c r="D1" s="82"/>
      <c r="E1" s="82"/>
      <c r="F1" s="82"/>
      <c r="G1" s="82"/>
      <c r="H1" s="82"/>
      <c r="I1" s="82"/>
      <c r="J1" s="82"/>
      <c r="K1" s="1"/>
      <c r="L1" s="2"/>
      <c r="M1" s="2"/>
      <c r="N1" s="2"/>
      <c r="O1" s="2"/>
    </row>
    <row r="2" spans="1:15" ht="7.5" customHeight="1" x14ac:dyDescent="0.2">
      <c r="A2" s="3"/>
      <c r="B2" s="3"/>
      <c r="C2" s="4"/>
      <c r="D2" s="4"/>
      <c r="E2" s="4"/>
      <c r="F2" s="4"/>
      <c r="G2" s="4"/>
      <c r="H2" s="4"/>
      <c r="I2" s="4"/>
      <c r="J2" s="4"/>
      <c r="K2" s="5"/>
      <c r="L2" s="4"/>
      <c r="M2" s="4"/>
      <c r="N2" s="4"/>
      <c r="O2" s="4"/>
    </row>
    <row r="3" spans="1:15" ht="30" customHeight="1" x14ac:dyDescent="0.2">
      <c r="A3" s="94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6"/>
      <c r="L3" s="7"/>
      <c r="M3" s="7"/>
      <c r="N3" s="7"/>
      <c r="O3" s="7"/>
    </row>
    <row r="4" spans="1:15" ht="40.5" customHeight="1" x14ac:dyDescent="0.2">
      <c r="A4" s="95" t="s">
        <v>2</v>
      </c>
      <c r="B4" s="82"/>
      <c r="C4" s="82"/>
      <c r="D4" s="82"/>
      <c r="E4" s="82"/>
      <c r="F4" s="82"/>
      <c r="G4" s="82"/>
      <c r="H4" s="82"/>
      <c r="I4" s="82"/>
      <c r="J4" s="82"/>
      <c r="L4" s="8"/>
      <c r="M4" s="8"/>
      <c r="N4" s="8"/>
      <c r="O4" s="8"/>
    </row>
    <row r="5" spans="1:15" ht="36.75" customHeight="1" x14ac:dyDescent="0.2">
      <c r="A5" s="92" t="s">
        <v>3</v>
      </c>
      <c r="B5" s="82"/>
      <c r="C5" s="82"/>
      <c r="D5" s="92" t="s">
        <v>4</v>
      </c>
      <c r="E5" s="82"/>
      <c r="F5" s="82"/>
      <c r="G5" s="82"/>
      <c r="H5" s="92" t="s">
        <v>5</v>
      </c>
      <c r="I5" s="82"/>
      <c r="J5" s="82"/>
      <c r="K5" s="9"/>
      <c r="L5" s="10"/>
      <c r="N5" s="10"/>
      <c r="O5" s="10"/>
    </row>
    <row r="6" spans="1:15" ht="28.5" customHeight="1" x14ac:dyDescent="0.2">
      <c r="A6" s="86">
        <f>SUM(C22:C28)+SUM(D31:D36)</f>
        <v>0</v>
      </c>
      <c r="B6" s="82"/>
      <c r="C6" s="82"/>
      <c r="D6" s="86">
        <f>SUM(I22:I28)+SUM(I31:I36)</f>
        <v>0</v>
      </c>
      <c r="E6" s="82"/>
      <c r="F6" s="82"/>
      <c r="G6" s="82"/>
      <c r="H6" s="88" t="str">
        <f>IFERROR((SUMPRODUCT((C12:C18&lt;=B12:B18)*C12:C18)+SUMPRODUCT((C12:C18&gt;B12:B18)*B12:B18))/SUM(B12:B18),"")</f>
        <v/>
      </c>
      <c r="I6" s="82"/>
      <c r="J6" s="82"/>
      <c r="K6" s="11"/>
      <c r="L6" s="12"/>
      <c r="N6" s="11"/>
      <c r="O6" s="11"/>
    </row>
    <row r="7" spans="1:15" ht="31.5" customHeight="1" x14ac:dyDescent="0.2">
      <c r="A7" s="89" t="s">
        <v>6</v>
      </c>
      <c r="B7" s="82"/>
      <c r="C7" s="82"/>
      <c r="D7" s="82"/>
      <c r="E7" s="82"/>
      <c r="F7" s="82"/>
      <c r="G7" s="82"/>
      <c r="H7" s="82"/>
      <c r="I7" s="82"/>
      <c r="J7" s="82"/>
      <c r="K7" s="13"/>
      <c r="L7" s="14"/>
      <c r="M7" s="14"/>
      <c r="N7" s="14"/>
      <c r="O7" s="14"/>
    </row>
    <row r="8" spans="1:15" ht="27" customHeight="1" x14ac:dyDescent="0.2">
      <c r="A8" s="90" t="str">
        <f>IF(SUM(C12:C18)&gt;A6,"Проверьте цели: распределено больше текущих сбережений",IF(SUM(C12:C18)&lt;A6,"Есть нераспределенные сбережения","Данные согласованы"))</f>
        <v>Данные согласованы</v>
      </c>
      <c r="B8" s="82"/>
      <c r="C8" s="82"/>
      <c r="D8" s="82"/>
      <c r="E8" s="82"/>
      <c r="F8" s="82"/>
      <c r="G8" s="82"/>
      <c r="H8" s="82"/>
      <c r="I8" s="82"/>
      <c r="J8" s="82"/>
      <c r="K8" s="15"/>
      <c r="L8" s="16"/>
      <c r="M8" s="16"/>
      <c r="N8" s="16"/>
      <c r="O8" s="16"/>
    </row>
    <row r="9" spans="1:15" ht="12.7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O9" s="18"/>
    </row>
    <row r="10" spans="1:15" ht="36" customHeight="1" x14ac:dyDescent="0.2">
      <c r="A10" s="74" t="s">
        <v>7</v>
      </c>
      <c r="B10" s="82"/>
      <c r="C10" s="82"/>
      <c r="D10" s="82"/>
      <c r="E10" s="82"/>
      <c r="F10" s="82"/>
      <c r="G10" s="82"/>
      <c r="H10" s="82"/>
      <c r="I10" s="82"/>
      <c r="J10" s="82"/>
      <c r="K10" s="17"/>
      <c r="L10" s="17"/>
      <c r="M10" s="17"/>
      <c r="N10" s="18"/>
      <c r="O10" s="18"/>
    </row>
    <row r="11" spans="1:15" ht="42.75" customHeight="1" x14ac:dyDescent="0.2">
      <c r="A11" s="20" t="s">
        <v>8</v>
      </c>
      <c r="B11" s="20" t="s">
        <v>9</v>
      </c>
      <c r="C11" s="20" t="s">
        <v>10</v>
      </c>
      <c r="D11" s="20" t="s">
        <v>11</v>
      </c>
      <c r="E11" s="20" t="s">
        <v>12</v>
      </c>
      <c r="F11" s="20" t="s">
        <v>13</v>
      </c>
      <c r="G11" s="20" t="s">
        <v>14</v>
      </c>
      <c r="H11" s="20" t="s">
        <v>15</v>
      </c>
      <c r="I11" s="20" t="s">
        <v>16</v>
      </c>
      <c r="J11" s="20" t="s">
        <v>17</v>
      </c>
      <c r="K11" s="17"/>
      <c r="L11" s="17"/>
      <c r="M11" s="17"/>
      <c r="N11" s="18"/>
      <c r="O11" s="18"/>
    </row>
    <row r="12" spans="1:15" ht="39" customHeight="1" x14ac:dyDescent="0.2">
      <c r="A12" s="54"/>
      <c r="B12" s="55"/>
      <c r="C12" s="55"/>
      <c r="D12" s="56" t="str">
        <f t="shared" ref="D12:D14" si="0">IF(A12="","",IF(OR(B12="",B12&lt;=0),"",IFERROR(MAX(0,MIN(1,N(C12)/B12)),"")))</f>
        <v/>
      </c>
      <c r="E12" s="53" t="str">
        <f t="shared" ref="E12:E18" si="1">IF(A12="","",IF(OR(B12="",B12&lt;=0),"",MAX(0,B12-N(C12))))</f>
        <v/>
      </c>
      <c r="F12" s="57"/>
      <c r="G12" s="58"/>
      <c r="H12" s="59" t="str">
        <f t="shared" ref="H12:H18" ca="1" si="2">IF(A12="","",IF(E12="","",IF(E12=0,TODAY(),IF(OR(G12="",G12&lt;=0),"",IFERROR(EDATE(TODAY(),ROUNDUP(E12/G12,0)),"")))))</f>
        <v/>
      </c>
      <c r="I12" s="53" t="str">
        <f t="shared" ref="I12:I18" ca="1" si="3">IF(A12="","",IF(E12="","",IF(E12=0,0,IF(F12="","",IF(F12&lt;=TODAY(),E12,ROUNDUP(E12/MAX(1,DATEDIF(TODAY(),F12,"M")+IF(EDATE(TODAY(),DATEDIF(TODAY(),F12,"M"))&lt;F12,1,0)),0))))))</f>
        <v/>
      </c>
      <c r="J12" s="21" t="str">
        <f t="shared" ref="J12:J14" ca="1" si="4">IF(A12="","",IF(E12="","",IF(E12=0,"Цель достигнута",IF(F12="","Укажите срок",IF(F12&lt;TODAY(),"Срок прошёл",IF(OR(G12="",G12&lt;=0),"Укажите взнос",IF(H12="","Укажите взнос",IF(H12&lt;=F12,"По плану","Нужно увеличить взнос"))))))))</f>
        <v/>
      </c>
      <c r="K12" s="17"/>
      <c r="L12" s="17"/>
      <c r="M12" s="17"/>
      <c r="N12" s="18"/>
      <c r="O12" s="18"/>
    </row>
    <row r="13" spans="1:15" ht="32.25" customHeight="1" x14ac:dyDescent="0.2">
      <c r="A13" s="54"/>
      <c r="B13" s="55"/>
      <c r="C13" s="55"/>
      <c r="D13" s="60" t="str">
        <f t="shared" si="0"/>
        <v/>
      </c>
      <c r="E13" s="53" t="str">
        <f t="shared" si="1"/>
        <v/>
      </c>
      <c r="F13" s="57"/>
      <c r="G13" s="58"/>
      <c r="H13" s="59" t="str">
        <f t="shared" ca="1" si="2"/>
        <v/>
      </c>
      <c r="I13" s="53" t="str">
        <f t="shared" ca="1" si="3"/>
        <v/>
      </c>
      <c r="J13" s="21" t="str">
        <f t="shared" ca="1" si="4"/>
        <v/>
      </c>
      <c r="K13" s="17"/>
      <c r="L13" s="17"/>
      <c r="M13" s="17"/>
      <c r="N13" s="18"/>
      <c r="O13" s="18"/>
    </row>
    <row r="14" spans="1:15" ht="24.75" customHeight="1" x14ac:dyDescent="0.2">
      <c r="A14" s="54"/>
      <c r="B14" s="55"/>
      <c r="C14" s="55"/>
      <c r="D14" s="61" t="str">
        <f t="shared" si="0"/>
        <v/>
      </c>
      <c r="E14" s="53" t="str">
        <f t="shared" si="1"/>
        <v/>
      </c>
      <c r="F14" s="57"/>
      <c r="G14" s="58"/>
      <c r="H14" s="59" t="str">
        <f t="shared" ca="1" si="2"/>
        <v/>
      </c>
      <c r="I14" s="53" t="str">
        <f t="shared" ca="1" si="3"/>
        <v/>
      </c>
      <c r="J14" s="21" t="str">
        <f t="shared" ca="1" si="4"/>
        <v/>
      </c>
      <c r="K14" s="17"/>
      <c r="L14" s="17"/>
      <c r="M14" s="17"/>
      <c r="N14" s="18"/>
      <c r="O14" s="18"/>
    </row>
    <row r="15" spans="1:15" ht="18" customHeight="1" x14ac:dyDescent="0.2">
      <c r="A15" s="64"/>
      <c r="B15" s="65"/>
      <c r="C15" s="65"/>
      <c r="D15" s="67" t="str">
        <f>IF(A15="","",IF(OR(B15="",B15&lt;=0),"",IFERROR(MAX(0,MIN(1,N(C15)/B15)),"")))</f>
        <v/>
      </c>
      <c r="E15" s="66" t="str">
        <f t="shared" si="1"/>
        <v/>
      </c>
      <c r="F15" s="68"/>
      <c r="G15" s="69"/>
      <c r="H15" s="70" t="str">
        <f t="shared" ca="1" si="2"/>
        <v/>
      </c>
      <c r="I15" s="66" t="str">
        <f t="shared" ca="1" si="3"/>
        <v/>
      </c>
      <c r="J15" s="71" t="str">
        <f ca="1">IF(A15="","",IF(E15="","",IF(E15=0,"Цель достигнута",IF(F15="","Укажите срок",IF(F15&lt;TODAY(),"Срок прошёл",IF(OR(G15="",G15&lt;=0),"Укажите взнос",IF(H15="","Укажите взнос",IF(H15&lt;=F15,"По плану","Нужно увеличить взнос"))))))))</f>
        <v/>
      </c>
      <c r="K15" s="17"/>
      <c r="L15" s="17"/>
      <c r="M15" s="17"/>
      <c r="N15" s="18"/>
      <c r="O15" s="18"/>
    </row>
    <row r="16" spans="1:15" ht="15" customHeight="1" x14ac:dyDescent="0.2">
      <c r="A16" s="64"/>
      <c r="B16" s="65"/>
      <c r="C16" s="65"/>
      <c r="D16" s="67" t="str">
        <f>IF(A16="","",IF(OR(B16="",B16&lt;=0),"",IFERROR(MAX(0,MIN(1,N(C16)/B16)),"")))</f>
        <v/>
      </c>
      <c r="E16" s="66" t="str">
        <f t="shared" si="1"/>
        <v/>
      </c>
      <c r="F16" s="68"/>
      <c r="G16" s="69"/>
      <c r="H16" s="70" t="str">
        <f t="shared" ca="1" si="2"/>
        <v/>
      </c>
      <c r="I16" s="66" t="str">
        <f t="shared" ca="1" si="3"/>
        <v/>
      </c>
      <c r="J16" s="71" t="str">
        <f ca="1">IF(A16="","",IF(E16="","",IF(E16=0,"Цель достигнута",IF(F16="","Укажите срок",IF(F16&lt;TODAY(),"Срок прошёл",IF(OR(G16="",G16&lt;=0),"Укажите взнос",IF(H16="","Укажите взнос",IF(H16&lt;=F16,"По плану","Нужно увеличить взнос"))))))))</f>
        <v/>
      </c>
      <c r="K16" s="17"/>
      <c r="L16" s="17"/>
      <c r="M16" s="17"/>
      <c r="N16" s="18"/>
      <c r="O16" s="18"/>
    </row>
    <row r="17" spans="1:15" ht="13.5" customHeight="1" x14ac:dyDescent="0.2">
      <c r="A17" s="64"/>
      <c r="B17" s="65"/>
      <c r="C17" s="65"/>
      <c r="D17" s="67" t="str">
        <f t="shared" ref="D17:D18" si="5">IF(A17="","",IF(OR(B17="",B17&lt;=0),"",IFERROR(MAX(0,MIN(1,N(C17)/B17)),"")))</f>
        <v/>
      </c>
      <c r="E17" s="66" t="str">
        <f t="shared" si="1"/>
        <v/>
      </c>
      <c r="F17" s="68"/>
      <c r="G17" s="69"/>
      <c r="H17" s="70" t="str">
        <f t="shared" ca="1" si="2"/>
        <v/>
      </c>
      <c r="I17" s="66" t="str">
        <f t="shared" ca="1" si="3"/>
        <v/>
      </c>
      <c r="J17" s="71" t="str">
        <f t="shared" ref="J17:J18" ca="1" si="6">IF(A17="","",IF(E17="","",IF(E17=0,"Цель достигнута",IF(F17="","Укажите срок",IF(F17&lt;TODAY(),"Срок прошёл",IF(OR(G17="",G17&lt;=0),"Укажите взнос",IF(H17="","Укажите взнос",IF(H17&lt;=F17,"По плану","Нужно увеличить взнос"))))))))</f>
        <v/>
      </c>
      <c r="K17" s="17"/>
      <c r="L17" s="17"/>
      <c r="M17" s="17"/>
      <c r="N17" s="18"/>
      <c r="O17" s="18"/>
    </row>
    <row r="18" spans="1:15" ht="22.5" customHeight="1" x14ac:dyDescent="0.2">
      <c r="A18" s="64"/>
      <c r="B18" s="65"/>
      <c r="C18" s="65"/>
      <c r="D18" s="67" t="str">
        <f t="shared" si="5"/>
        <v/>
      </c>
      <c r="E18" s="66" t="str">
        <f t="shared" si="1"/>
        <v/>
      </c>
      <c r="F18" s="68"/>
      <c r="G18" s="69"/>
      <c r="H18" s="70" t="str">
        <f t="shared" ca="1" si="2"/>
        <v/>
      </c>
      <c r="I18" s="66" t="str">
        <f t="shared" ca="1" si="3"/>
        <v/>
      </c>
      <c r="J18" s="71" t="str">
        <f t="shared" ca="1" si="6"/>
        <v/>
      </c>
      <c r="K18" s="17"/>
      <c r="L18" s="17"/>
      <c r="M18" s="17"/>
      <c r="N18" s="18"/>
      <c r="O18" s="18"/>
    </row>
    <row r="19" spans="1:15" ht="24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22"/>
      <c r="L19" s="22"/>
      <c r="M19" s="22"/>
      <c r="N19" s="23"/>
      <c r="O19" s="23"/>
    </row>
    <row r="20" spans="1:15" ht="24" customHeight="1" x14ac:dyDescent="0.2">
      <c r="A20" s="19" t="s">
        <v>18</v>
      </c>
      <c r="B20" s="19"/>
      <c r="C20" s="19"/>
      <c r="D20" s="19"/>
      <c r="E20" s="19"/>
      <c r="F20" s="19"/>
      <c r="G20" s="19"/>
      <c r="H20" s="19"/>
      <c r="I20" s="19"/>
      <c r="J20" s="1"/>
      <c r="K20" s="24"/>
      <c r="L20" s="24"/>
      <c r="M20" s="24" t="s">
        <v>19</v>
      </c>
      <c r="N20" s="25"/>
      <c r="O20" s="25"/>
    </row>
    <row r="21" spans="1:15" ht="63.75" customHeight="1" x14ac:dyDescent="0.2">
      <c r="A21" s="20" t="s">
        <v>20</v>
      </c>
      <c r="B21" s="20" t="s">
        <v>21</v>
      </c>
      <c r="C21" s="20" t="s">
        <v>22</v>
      </c>
      <c r="D21" s="20" t="s">
        <v>23</v>
      </c>
      <c r="E21" s="20" t="s">
        <v>24</v>
      </c>
      <c r="F21" s="20" t="s">
        <v>25</v>
      </c>
      <c r="G21" s="20" t="s">
        <v>26</v>
      </c>
      <c r="H21" s="20" t="s">
        <v>27</v>
      </c>
      <c r="I21" s="20" t="s">
        <v>28</v>
      </c>
      <c r="J21" s="26"/>
      <c r="K21" s="24"/>
      <c r="L21" s="27"/>
      <c r="M21" s="28" t="s">
        <v>19</v>
      </c>
      <c r="N21" s="29"/>
      <c r="O21" s="30"/>
    </row>
    <row r="22" spans="1:15" ht="25.5" customHeight="1" x14ac:dyDescent="0.2">
      <c r="A22" s="31"/>
      <c r="B22" s="31"/>
      <c r="C22" s="32"/>
      <c r="D22" s="33"/>
      <c r="E22" s="34"/>
      <c r="F22" s="34"/>
      <c r="G22" s="32"/>
      <c r="H22" s="53" t="str">
        <f>IF(A22="","",Расчеты!M67)</f>
        <v/>
      </c>
      <c r="I22" s="53" t="str">
        <f>IF(A22="","",Расчеты!N67)</f>
        <v/>
      </c>
      <c r="J22" s="26"/>
      <c r="K22" s="24"/>
      <c r="L22" s="87"/>
      <c r="M22" s="28" t="s">
        <v>19</v>
      </c>
      <c r="N22" s="29"/>
      <c r="O22" s="30"/>
    </row>
    <row r="23" spans="1:15" ht="25.5" customHeight="1" x14ac:dyDescent="0.2">
      <c r="A23" s="31"/>
      <c r="B23" s="31"/>
      <c r="C23" s="32"/>
      <c r="D23" s="33"/>
      <c r="E23" s="34"/>
      <c r="F23" s="34"/>
      <c r="G23" s="32"/>
      <c r="H23" s="53" t="str">
        <f>IF(A23="","",Расчеты!R67)</f>
        <v/>
      </c>
      <c r="I23" s="53" t="str">
        <f>IF(A23="","",Расчеты!S67)</f>
        <v/>
      </c>
      <c r="J23" s="26"/>
      <c r="K23" s="24"/>
      <c r="L23" s="82"/>
      <c r="M23" s="28" t="s">
        <v>19</v>
      </c>
      <c r="N23" s="29"/>
      <c r="O23" s="30"/>
    </row>
    <row r="24" spans="1:15" ht="25.5" customHeight="1" x14ac:dyDescent="0.2">
      <c r="A24" s="31"/>
      <c r="B24" s="31"/>
      <c r="C24" s="32"/>
      <c r="D24" s="33"/>
      <c r="E24" s="34"/>
      <c r="F24" s="34"/>
      <c r="G24" s="32"/>
      <c r="H24" s="53" t="str">
        <f>IF(A24="","",Расчеты!W67)</f>
        <v/>
      </c>
      <c r="I24" s="53" t="str">
        <f>IF(A24="","",Расчеты!X67)</f>
        <v/>
      </c>
      <c r="J24" s="26"/>
      <c r="K24" s="24"/>
      <c r="L24" s="27" t="s">
        <v>19</v>
      </c>
      <c r="M24" s="28" t="s">
        <v>19</v>
      </c>
      <c r="N24" s="29"/>
      <c r="O24" s="30"/>
    </row>
    <row r="25" spans="1:15" ht="25.5" customHeight="1" x14ac:dyDescent="0.2">
      <c r="A25" s="31"/>
      <c r="B25" s="31"/>
      <c r="C25" s="32"/>
      <c r="D25" s="33"/>
      <c r="E25" s="34"/>
      <c r="F25" s="34"/>
      <c r="G25" s="32"/>
      <c r="H25" s="53" t="str">
        <f>IF(A25="","",Расчеты!AB67)</f>
        <v/>
      </c>
      <c r="I25" s="53" t="str">
        <f>IF(A25="","",Расчеты!AC67)</f>
        <v/>
      </c>
      <c r="J25" s="26"/>
      <c r="K25" s="24"/>
      <c r="L25" s="27"/>
      <c r="M25" s="28"/>
      <c r="N25" s="29"/>
      <c r="O25" s="30"/>
    </row>
    <row r="26" spans="1:15" ht="25.5" customHeight="1" x14ac:dyDescent="0.2">
      <c r="A26" s="31"/>
      <c r="B26" s="31"/>
      <c r="C26" s="32"/>
      <c r="D26" s="33"/>
      <c r="E26" s="34"/>
      <c r="F26" s="34"/>
      <c r="G26" s="32"/>
      <c r="H26" s="53" t="str">
        <f>IF(A26="","",Расчеты!AG67)</f>
        <v/>
      </c>
      <c r="I26" s="53" t="str">
        <f>IF(A26="","",Расчеты!AH67)</f>
        <v/>
      </c>
      <c r="J26" s="26"/>
      <c r="K26" s="24"/>
      <c r="L26" s="27"/>
      <c r="M26" s="28"/>
      <c r="N26" s="29"/>
      <c r="O26" s="30"/>
    </row>
    <row r="27" spans="1:15" ht="26.25" customHeight="1" x14ac:dyDescent="0.2">
      <c r="A27" s="31"/>
      <c r="B27" s="31"/>
      <c r="C27" s="32"/>
      <c r="D27" s="33"/>
      <c r="E27" s="34"/>
      <c r="F27" s="34"/>
      <c r="G27" s="32"/>
      <c r="H27" s="53" t="str">
        <f>IF(A27="","",Расчеты!AL67)</f>
        <v/>
      </c>
      <c r="I27" s="53" t="str">
        <f>IF(A27="","",Расчеты!AM67)</f>
        <v/>
      </c>
      <c r="J27" s="26"/>
      <c r="K27" s="24"/>
      <c r="L27" s="27" t="s">
        <v>19</v>
      </c>
      <c r="M27" s="28" t="s">
        <v>19</v>
      </c>
      <c r="N27" s="29"/>
      <c r="O27" s="30"/>
    </row>
    <row r="28" spans="1:15" ht="25.5" customHeight="1" x14ac:dyDescent="0.2">
      <c r="A28" s="26"/>
      <c r="B28" s="26"/>
      <c r="C28" s="26"/>
      <c r="D28" s="26"/>
      <c r="E28" s="26"/>
      <c r="F28" s="26"/>
      <c r="G28" s="26"/>
      <c r="H28" s="62" t="str">
        <f>IF(A28="","",Расчеты!AQ67)</f>
        <v/>
      </c>
      <c r="I28" s="62" t="str">
        <f>IF(A28="","",Расчеты!AR67)</f>
        <v/>
      </c>
      <c r="J28" s="26"/>
      <c r="K28" s="24"/>
      <c r="L28" s="27"/>
      <c r="M28" s="28"/>
      <c r="N28" s="29"/>
      <c r="O28" s="30"/>
    </row>
    <row r="29" spans="1:15" ht="24" customHeight="1" x14ac:dyDescent="0.2">
      <c r="A29" s="74" t="s">
        <v>29</v>
      </c>
      <c r="B29" s="74"/>
      <c r="C29" s="74"/>
      <c r="D29" s="74"/>
      <c r="E29" s="74"/>
      <c r="F29" s="74"/>
      <c r="G29" s="74"/>
      <c r="H29" s="75"/>
      <c r="I29" s="75"/>
      <c r="J29" s="24"/>
      <c r="K29" s="27"/>
      <c r="L29" s="28"/>
      <c r="M29" s="29"/>
      <c r="N29" s="30"/>
    </row>
    <row r="30" spans="1:15" ht="42" customHeight="1" x14ac:dyDescent="0.2">
      <c r="A30" s="20" t="s">
        <v>20</v>
      </c>
      <c r="B30" s="20" t="s">
        <v>21</v>
      </c>
      <c r="C30" s="20" t="s">
        <v>30</v>
      </c>
      <c r="D30" s="20" t="s">
        <v>31</v>
      </c>
      <c r="E30" s="20" t="s">
        <v>32</v>
      </c>
      <c r="F30" s="38" t="s">
        <v>33</v>
      </c>
      <c r="G30" s="38" t="s">
        <v>34</v>
      </c>
      <c r="H30" s="63" t="s">
        <v>35</v>
      </c>
      <c r="I30" s="63" t="s">
        <v>36</v>
      </c>
      <c r="J30" s="24"/>
      <c r="K30" s="27" t="s">
        <v>19</v>
      </c>
      <c r="L30" s="28" t="s">
        <v>19</v>
      </c>
      <c r="M30" s="29"/>
      <c r="N30" s="30"/>
    </row>
    <row r="31" spans="1:15" ht="37.5" customHeight="1" x14ac:dyDescent="0.2">
      <c r="A31" s="31"/>
      <c r="B31" s="31"/>
      <c r="C31" s="39"/>
      <c r="D31" s="32"/>
      <c r="E31" s="41"/>
      <c r="F31" s="42"/>
      <c r="G31" s="32"/>
      <c r="H31" s="53" t="str" cm="1">
        <f t="array" ref="H31">IF(A31="","",Расчеты!H22)</f>
        <v/>
      </c>
      <c r="I31" s="53" t="str">
        <f>IF(A31="","",Расчеты!I22)</f>
        <v/>
      </c>
      <c r="J31" s="35"/>
      <c r="K31" s="35"/>
      <c r="L31" s="36"/>
      <c r="M31" s="36"/>
      <c r="N31" s="36"/>
    </row>
    <row r="32" spans="1:15" ht="47.25" customHeight="1" x14ac:dyDescent="0.2">
      <c r="A32" s="31"/>
      <c r="B32" s="31"/>
      <c r="C32" s="39"/>
      <c r="D32" s="32"/>
      <c r="E32" s="41"/>
      <c r="F32" s="42"/>
      <c r="G32" s="32"/>
      <c r="H32" s="53" t="str">
        <f>IF(A32="","",Расчеты!H39)</f>
        <v/>
      </c>
      <c r="I32" s="53" t="str">
        <f>IF(A32="","",Расчеты!I39)</f>
        <v/>
      </c>
      <c r="J32" s="17"/>
      <c r="K32" s="17"/>
      <c r="L32" s="17"/>
      <c r="M32" s="18"/>
      <c r="N32" s="18"/>
    </row>
    <row r="33" spans="1:15" ht="18" customHeight="1" x14ac:dyDescent="0.2">
      <c r="A33" s="31"/>
      <c r="B33" s="31"/>
      <c r="C33" s="39"/>
      <c r="D33" s="32"/>
      <c r="E33" s="41"/>
      <c r="F33" s="42"/>
      <c r="G33" s="32"/>
      <c r="H33" s="53" t="str">
        <f>IF(A33="","",Расчеты!H56)</f>
        <v/>
      </c>
      <c r="I33" s="53" t="str">
        <f>IF(A33="","",Расчеты!I56)</f>
        <v/>
      </c>
      <c r="J33" s="17"/>
      <c r="K33" s="17"/>
      <c r="L33" s="17"/>
      <c r="M33" s="18"/>
      <c r="N33" s="18"/>
    </row>
    <row r="34" spans="1:15" ht="18" customHeight="1" x14ac:dyDescent="0.2">
      <c r="A34" s="31"/>
      <c r="B34" s="31"/>
      <c r="C34" s="39"/>
      <c r="D34" s="32"/>
      <c r="E34" s="41"/>
      <c r="F34" s="42"/>
      <c r="G34" s="32"/>
      <c r="H34" s="53" t="str">
        <f>IF(A34="","",Расчеты!H73)</f>
        <v/>
      </c>
      <c r="I34" s="53" t="str">
        <f>IF(A34="","",Расчеты!I73)</f>
        <v/>
      </c>
      <c r="J34" s="17"/>
      <c r="K34" s="17"/>
      <c r="L34" s="17"/>
      <c r="M34" s="18"/>
      <c r="N34" s="18"/>
    </row>
    <row r="35" spans="1:15" ht="18" customHeight="1" x14ac:dyDescent="0.2">
      <c r="A35" s="31"/>
      <c r="B35" s="31"/>
      <c r="C35" s="39"/>
      <c r="D35" s="32"/>
      <c r="E35" s="41"/>
      <c r="F35" s="42"/>
      <c r="G35" s="32"/>
      <c r="H35" s="53" t="str">
        <f>IF(A35="","",Расчеты!H90)</f>
        <v/>
      </c>
      <c r="I35" s="53" t="str">
        <f>IF(A35="","",Расчеты!I90)</f>
        <v/>
      </c>
      <c r="J35" s="17"/>
      <c r="K35" s="17"/>
      <c r="L35" s="17"/>
      <c r="M35" s="18"/>
      <c r="N35" s="18"/>
    </row>
    <row r="36" spans="1:15" ht="20.25" customHeight="1" x14ac:dyDescent="0.2">
      <c r="A36" s="31"/>
      <c r="B36" s="31"/>
      <c r="C36" s="39"/>
      <c r="D36" s="40"/>
      <c r="E36" s="41"/>
      <c r="F36" s="42"/>
      <c r="G36" s="32"/>
      <c r="H36" s="53" t="str">
        <f>IF(A36="","",Расчеты!H107)</f>
        <v/>
      </c>
      <c r="I36" s="53" t="str">
        <f>IF(A36="","",Расчеты!I107)</f>
        <v/>
      </c>
      <c r="J36" s="17"/>
      <c r="K36" s="17"/>
      <c r="L36" s="17"/>
      <c r="M36" s="18"/>
      <c r="N36" s="18"/>
    </row>
    <row r="37" spans="1:15" ht="42" customHeight="1" x14ac:dyDescent="0.2">
      <c r="A37" s="72" t="s">
        <v>37</v>
      </c>
      <c r="B37" s="72"/>
      <c r="C37" s="72"/>
      <c r="D37" s="72"/>
      <c r="E37" s="72"/>
      <c r="F37" s="72"/>
      <c r="G37" s="72"/>
      <c r="H37" s="72"/>
      <c r="I37" s="72"/>
      <c r="J37" s="26"/>
      <c r="K37" s="17"/>
      <c r="L37" s="17"/>
      <c r="M37" s="17"/>
      <c r="N37" s="18"/>
      <c r="O37" s="18"/>
    </row>
    <row r="38" spans="1:15" ht="9" customHeight="1" x14ac:dyDescent="0.2">
      <c r="A38" s="73"/>
      <c r="B38" s="73"/>
      <c r="C38" s="73"/>
      <c r="D38" s="73"/>
      <c r="E38" s="73"/>
      <c r="F38" s="73"/>
      <c r="G38" s="73"/>
      <c r="H38" s="73"/>
      <c r="I38" s="73"/>
      <c r="J38" s="17"/>
      <c r="K38" s="18"/>
      <c r="L38" s="17"/>
      <c r="M38" s="17"/>
      <c r="N38" s="18"/>
      <c r="O38" s="18"/>
    </row>
    <row r="39" spans="1:15" ht="9" customHeight="1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8"/>
      <c r="L39" s="17"/>
      <c r="M39" s="17"/>
      <c r="N39" s="18"/>
      <c r="O39" s="18"/>
    </row>
    <row r="40" spans="1:15" ht="54" customHeight="1" x14ac:dyDescent="0.2">
      <c r="A40" s="74" t="s">
        <v>38</v>
      </c>
      <c r="B40" s="82"/>
      <c r="C40" s="82"/>
      <c r="D40" s="82"/>
      <c r="E40" s="8"/>
      <c r="F40" s="18"/>
      <c r="G40" s="8"/>
      <c r="H40" s="8"/>
      <c r="I40" s="8"/>
      <c r="J40" s="8"/>
    </row>
    <row r="41" spans="1:15" ht="9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5" ht="49.5" customHeight="1" x14ac:dyDescent="0.2">
      <c r="A42" s="83" t="s">
        <v>39</v>
      </c>
      <c r="B42" s="82"/>
      <c r="C42" s="83" t="s">
        <v>40</v>
      </c>
      <c r="D42" s="82"/>
      <c r="E42" s="18"/>
      <c r="F42" s="18"/>
    </row>
    <row r="43" spans="1:15" ht="25.5" customHeight="1" x14ac:dyDescent="0.2">
      <c r="A43" s="84">
        <v>0.16</v>
      </c>
      <c r="B43" s="82"/>
      <c r="C43" s="84">
        <v>0.13</v>
      </c>
      <c r="D43" s="82"/>
      <c r="E43" s="18"/>
      <c r="F43" s="18"/>
    </row>
    <row r="44" spans="1:15" ht="25.5" customHeight="1" x14ac:dyDescent="0.2">
      <c r="A44" s="85"/>
      <c r="B44" s="82"/>
      <c r="C44" s="82"/>
      <c r="D44" s="82"/>
      <c r="E44" s="18"/>
      <c r="F44" s="18"/>
      <c r="G44" s="18"/>
      <c r="H44" s="18"/>
    </row>
    <row r="45" spans="1:15" ht="25.5" customHeight="1" x14ac:dyDescent="0.2">
      <c r="A45" s="37" t="s">
        <v>41</v>
      </c>
      <c r="B45" s="76">
        <f>SUM(H22:H28)+SUM(H31:H36)</f>
        <v>0</v>
      </c>
      <c r="C45" s="77"/>
      <c r="D45" s="78"/>
      <c r="E45" s="18"/>
      <c r="F45" s="18"/>
      <c r="G45" s="18"/>
      <c r="H45" s="18"/>
    </row>
    <row r="46" spans="1:15" ht="25.5" customHeight="1" x14ac:dyDescent="0.2">
      <c r="A46" s="37" t="s">
        <v>42</v>
      </c>
      <c r="B46" s="79">
        <f>-MAX(0,(B45-(1000000*A43))*C43)</f>
        <v>0</v>
      </c>
      <c r="C46" s="80"/>
      <c r="D46" s="81"/>
      <c r="E46" s="18"/>
      <c r="F46" s="18"/>
      <c r="G46" s="18"/>
      <c r="H46" s="18"/>
    </row>
    <row r="47" spans="1:1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5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x14ac:dyDescent="0.2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15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1:15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1:15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5" x14ac:dyDescent="0.2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 x14ac:dyDescent="0.2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 x14ac:dyDescent="0.2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 x14ac:dyDescent="0.2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 x14ac:dyDescent="0.2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 x14ac:dyDescent="0.2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 x14ac:dyDescent="0.2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L110" s="18"/>
      <c r="M110" s="18"/>
      <c r="N110" s="18"/>
      <c r="O110" s="18"/>
    </row>
    <row r="111" spans="1:15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L111" s="18"/>
      <c r="M111" s="18"/>
      <c r="N111" s="18"/>
      <c r="O111" s="18"/>
    </row>
    <row r="112" spans="1:15" x14ac:dyDescent="0.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L112" s="18"/>
      <c r="M112" s="18"/>
      <c r="N112" s="18"/>
      <c r="O112" s="18"/>
    </row>
    <row r="113" spans="1:15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L113" s="18"/>
      <c r="M113" s="18"/>
      <c r="N113" s="18"/>
      <c r="O113" s="18"/>
    </row>
    <row r="114" spans="1:15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L114" s="18"/>
      <c r="M114" s="18"/>
      <c r="N114" s="18"/>
      <c r="O114" s="18"/>
    </row>
    <row r="115" spans="1:15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L115" s="18"/>
      <c r="M115" s="18"/>
      <c r="N115" s="18"/>
      <c r="O115" s="18"/>
    </row>
  </sheetData>
  <mergeCells count="25">
    <mergeCell ref="A1:B1"/>
    <mergeCell ref="A5:C5"/>
    <mergeCell ref="C1:J1"/>
    <mergeCell ref="A3:J3"/>
    <mergeCell ref="A4:J4"/>
    <mergeCell ref="H5:J5"/>
    <mergeCell ref="D5:G5"/>
    <mergeCell ref="A6:C6"/>
    <mergeCell ref="L22:L23"/>
    <mergeCell ref="A10:J10"/>
    <mergeCell ref="H6:J6"/>
    <mergeCell ref="D6:G6"/>
    <mergeCell ref="A7:J7"/>
    <mergeCell ref="A8:J8"/>
    <mergeCell ref="A37:I37"/>
    <mergeCell ref="A38:I38"/>
    <mergeCell ref="A29:I29"/>
    <mergeCell ref="B45:D45"/>
    <mergeCell ref="B46:D46"/>
    <mergeCell ref="A40:D40"/>
    <mergeCell ref="A42:B42"/>
    <mergeCell ref="C42:D42"/>
    <mergeCell ref="A43:B43"/>
    <mergeCell ref="C43:D43"/>
    <mergeCell ref="A44:D44"/>
  </mergeCells>
  <conditionalFormatting sqref="D12:D18">
    <cfRule type="expression" dxfId="4" priority="1">
      <formula>AND($A12&lt;&gt;"",$D12&gt;=0.6)</formula>
    </cfRule>
    <cfRule type="expression" dxfId="3" priority="2">
      <formula>AND($A12&lt;&gt;"",$D12&gt;=0.4,$D12&lt;0.6)</formula>
    </cfRule>
    <cfRule type="expression" dxfId="2" priority="3">
      <formula>AND($A12&lt;&gt;"",$D12&lt;0.4)</formula>
    </cfRule>
  </conditionalFormatting>
  <conditionalFormatting sqref="J12:J18">
    <cfRule type="expression" dxfId="1" priority="4">
      <formula>$J12="Цель достигнута"</formula>
    </cfRule>
    <cfRule type="expression" dxfId="0" priority="5">
      <formula>AND($A12&lt;&gt;"",$J12&lt;&gt;"Цель достигнута")</formula>
    </cfRule>
  </conditionalFormatting>
  <dataValidations count="6">
    <dataValidation type="decimal" allowBlank="1" showDropDown="1" showErrorMessage="1" sqref="D22:D27 E31:E36" xr:uid="{00000000-0002-0000-0000-000000000000}">
      <formula1>0</formula1>
      <formula2>1</formula2>
    </dataValidation>
    <dataValidation type="decimal" operator="greaterThanOrEqual" allowBlank="1" showDropDown="1" showErrorMessage="1" sqref="G12:G18 D31:D36 C22:C27 C12:C18 G22:G27" xr:uid="{00000000-0002-0000-0000-000001000000}">
      <formula1>0</formula1>
    </dataValidation>
    <dataValidation type="list" allowBlank="1" showDropDown="1" showErrorMessage="1" sqref="F31:F36" xr:uid="{00000000-0002-0000-0000-000002000000}">
      <formula1>"Ежедневный остаток,Минимальный остаток за месяц"</formula1>
    </dataValidation>
    <dataValidation type="custom" allowBlank="1" showDropDown="1" showErrorMessage="1" sqref="E22:F27 F12:F18" xr:uid="{00000000-0002-0000-0000-000003000000}">
      <formula1>OR(NOT(ISERROR(DATEVALUE(E12))), AND(ISNUMBER(E12), LEFT(CELL("format", E12))="D"))</formula1>
    </dataValidation>
    <dataValidation type="date" allowBlank="1" showDropDown="1" showErrorMessage="1" sqref="C31:C36" xr:uid="{00000000-0002-0000-0000-000004000000}"/>
    <dataValidation type="decimal" operator="greaterThan" allowBlank="1" showDropDown="1" showErrorMessage="1" sqref="B12:B18" xr:uid="{00000000-0002-0000-0000-000005000000}">
      <formula1>0</formula1>
    </dataValidation>
  </dataValidations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201"/>
  <sheetViews>
    <sheetView tabSelected="1" topLeftCell="Y1" workbookViewId="0">
      <selection sqref="A1:I1"/>
    </sheetView>
  </sheetViews>
  <sheetFormatPr baseColWidth="10" defaultColWidth="8.85546875" defaultRowHeight="14" x14ac:dyDescent="0.2"/>
  <cols>
    <col min="1" max="1" width="12" style="43" customWidth="1"/>
    <col min="2" max="3" width="16" style="43" customWidth="1"/>
    <col min="4" max="4" width="19" style="43" customWidth="1"/>
    <col min="5" max="5" width="16" style="43" customWidth="1"/>
    <col min="6" max="6" width="20" style="43" customWidth="1"/>
    <col min="7" max="7" width="9" style="43" customWidth="1"/>
    <col min="8" max="9" width="20" style="43" customWidth="1"/>
    <col min="10" max="10" width="8.85546875" style="43"/>
    <col min="11" max="12" width="14" style="43" customWidth="1"/>
    <col min="13" max="13" width="21.7109375" style="43" customWidth="1"/>
    <col min="14" max="15" width="14" style="43" customWidth="1"/>
    <col min="16" max="16" width="19" style="43" customWidth="1"/>
    <col min="17" max="18" width="14" style="43" customWidth="1"/>
    <col min="19" max="19" width="19" style="43" customWidth="1"/>
    <col min="20" max="21" width="14" style="43" customWidth="1"/>
    <col min="22" max="22" width="19" style="43" customWidth="1"/>
    <col min="23" max="23" width="12.5703125" style="43" customWidth="1"/>
    <col min="24" max="24" width="11.28515625" style="43" customWidth="1"/>
    <col min="25" max="16384" width="8.85546875" style="43"/>
  </cols>
  <sheetData>
    <row r="1" spans="1:59" ht="21" x14ac:dyDescent="0.15">
      <c r="A1" s="96" t="s">
        <v>43</v>
      </c>
      <c r="B1" s="96"/>
      <c r="C1" s="96"/>
      <c r="D1" s="96"/>
      <c r="E1" s="96"/>
      <c r="F1" s="96"/>
      <c r="G1" s="96"/>
      <c r="H1" s="96"/>
      <c r="I1" s="96"/>
      <c r="J1" s="51"/>
      <c r="K1" s="101" t="s">
        <v>44</v>
      </c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59" x14ac:dyDescent="0.15">
      <c r="J2" s="52"/>
    </row>
    <row r="3" spans="1:59" x14ac:dyDescent="0.2">
      <c r="A3" s="97" t="s">
        <v>45</v>
      </c>
      <c r="B3" s="97"/>
      <c r="C3" s="97"/>
      <c r="D3" s="97"/>
      <c r="E3" s="97"/>
      <c r="F3" s="97"/>
      <c r="G3" s="97"/>
      <c r="H3" s="97"/>
      <c r="I3" s="97"/>
      <c r="J3"/>
      <c r="K3" s="102" t="s">
        <v>46</v>
      </c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</row>
    <row r="4" spans="1:59" x14ac:dyDescent="0.2">
      <c r="A4" s="98" t="s">
        <v>47</v>
      </c>
      <c r="B4" s="98"/>
      <c r="C4" s="98"/>
      <c r="D4" s="98"/>
      <c r="E4" s="98"/>
      <c r="F4" s="98"/>
      <c r="G4" s="98"/>
      <c r="H4" s="98"/>
      <c r="I4" s="98"/>
    </row>
    <row r="5" spans="1:59" x14ac:dyDescent="0.2">
      <c r="A5" s="99" t="s">
        <v>48</v>
      </c>
      <c r="B5" s="99"/>
      <c r="C5" s="99"/>
      <c r="D5" s="99"/>
      <c r="E5" s="99"/>
      <c r="F5" s="99"/>
      <c r="G5" s="99"/>
      <c r="H5" s="99"/>
      <c r="I5" s="99"/>
      <c r="K5" s="103" t="str">
        <f>IF('Навигатор накоплений'!A22="","Вклад не заполнен",'Навигатор накоплений'!A22&amp;" — "&amp;'Навигатор накоплений'!B22)</f>
        <v>Вклад не заполнен</v>
      </c>
      <c r="L5" s="103"/>
      <c r="M5" s="103"/>
      <c r="N5" s="103"/>
      <c r="O5" s="44"/>
      <c r="P5" s="103" t="str">
        <f>IF('Навигатор накоплений'!A23="","Вклад не заполнен",'Навигатор накоплений'!A23&amp;" — "&amp;'Навигатор накоплений'!B23)</f>
        <v>Вклад не заполнен</v>
      </c>
      <c r="Q5" s="103"/>
      <c r="R5" s="103"/>
      <c r="S5" s="103"/>
      <c r="T5" s="44"/>
      <c r="U5" s="103" t="str">
        <f>IF('Навигатор накоплений'!A24="","Вклад не заполнен",'Навигатор накоплений'!A24&amp;" — "&amp;'Навигатор накоплений'!B24)</f>
        <v>Вклад не заполнен</v>
      </c>
      <c r="V5" s="103"/>
      <c r="W5" s="104"/>
      <c r="X5" s="104"/>
      <c r="Y5" s="44"/>
      <c r="Z5" s="103" t="str">
        <f>IF('Навигатор накоплений'!A25="","Вклад не заполнен",'Навигатор накоплений'!A25&amp;" — "&amp;'Навигатор накоплений'!B25)</f>
        <v>Вклад не заполнен</v>
      </c>
      <c r="AA5" s="103"/>
      <c r="AB5" s="104"/>
      <c r="AC5" s="104"/>
      <c r="AD5" s="44"/>
      <c r="AE5" s="103" t="str">
        <f>IF('Навигатор накоплений'!A26="","Вклад не заполнен",'Навигатор накоплений'!A26&amp;" — "&amp;'Навигатор накоплений'!B26)</f>
        <v>Вклад не заполнен</v>
      </c>
      <c r="AF5" s="103"/>
      <c r="AG5" s="104"/>
      <c r="AH5" s="104"/>
      <c r="AI5" s="44"/>
      <c r="AJ5" s="103" t="str">
        <f>IF('Навигатор накоплений'!A27="","Вклад не заполнен",'Навигатор накоплений'!A27&amp;" — "&amp;'Навигатор накоплений'!B27)</f>
        <v>Вклад не заполнен</v>
      </c>
      <c r="AK5" s="103"/>
      <c r="AL5" s="104"/>
      <c r="AM5" s="104"/>
      <c r="AN5" s="104"/>
      <c r="AO5" s="104" t="str">
        <f>IF('Навигатор накоплений'!A28="","Вклад не заполнен",'Навигатор накоплений'!A28&amp;" — "&amp;'Навигатор накоплений'!B28)</f>
        <v>Вклад не заполнен</v>
      </c>
      <c r="AP5" s="104"/>
      <c r="AQ5" s="104"/>
      <c r="AR5"/>
      <c r="AT5"/>
      <c r="AU5"/>
      <c r="AV5"/>
      <c r="AW5"/>
      <c r="AY5"/>
      <c r="AZ5"/>
      <c r="BA5"/>
      <c r="BB5"/>
      <c r="BD5"/>
      <c r="BE5"/>
      <c r="BF5"/>
      <c r="BG5"/>
    </row>
    <row r="6" spans="1:59" ht="60" x14ac:dyDescent="0.2">
      <c r="K6" s="43" t="s">
        <v>49</v>
      </c>
      <c r="L6" s="43" t="s">
        <v>50</v>
      </c>
      <c r="M6" s="43" t="s">
        <v>51</v>
      </c>
      <c r="N6" s="43" t="s">
        <v>52</v>
      </c>
      <c r="P6" s="43" t="s">
        <v>49</v>
      </c>
      <c r="Q6" s="43" t="s">
        <v>50</v>
      </c>
      <c r="R6" s="43" t="s">
        <v>51</v>
      </c>
      <c r="S6" s="43" t="s">
        <v>52</v>
      </c>
      <c r="U6" s="43" t="s">
        <v>49</v>
      </c>
      <c r="V6" s="43" t="s">
        <v>50</v>
      </c>
      <c r="W6" s="43" t="s">
        <v>51</v>
      </c>
      <c r="X6" s="43" t="s">
        <v>52</v>
      </c>
      <c r="Z6" s="43" t="s">
        <v>49</v>
      </c>
      <c r="AA6" s="43" t="s">
        <v>50</v>
      </c>
      <c r="AB6" s="43" t="s">
        <v>51</v>
      </c>
      <c r="AC6" s="43" t="s">
        <v>52</v>
      </c>
      <c r="AE6" s="43" t="s">
        <v>49</v>
      </c>
      <c r="AF6" s="43" t="s">
        <v>50</v>
      </c>
      <c r="AG6" s="43" t="s">
        <v>51</v>
      </c>
      <c r="AH6" s="43" t="s">
        <v>52</v>
      </c>
      <c r="AJ6" s="43" t="s">
        <v>49</v>
      </c>
      <c r="AK6" s="43" t="s">
        <v>50</v>
      </c>
      <c r="AL6" s="43" t="s">
        <v>51</v>
      </c>
      <c r="AM6" s="43" t="s">
        <v>52</v>
      </c>
      <c r="AO6" s="43" t="s">
        <v>49</v>
      </c>
      <c r="AP6" s="43" t="s">
        <v>50</v>
      </c>
      <c r="AQ6" s="43" t="s">
        <v>51</v>
      </c>
      <c r="AR6" t="s">
        <v>52</v>
      </c>
      <c r="AT6"/>
      <c r="AU6"/>
      <c r="AV6"/>
      <c r="AW6"/>
      <c r="AY6"/>
      <c r="AZ6"/>
      <c r="BA6"/>
      <c r="BB6"/>
      <c r="BD6"/>
      <c r="BE6"/>
      <c r="BF6"/>
      <c r="BG6"/>
    </row>
    <row r="7" spans="1:59" ht="15" x14ac:dyDescent="0.2">
      <c r="K7" s="45" t="str">
        <f>IF(OR('Навигатор накоплений'!A22="",'Навигатор накоплений'!E22="",'Навигатор накоплений'!F22="",'Навигатор накоплений'!F22&lt;='Навигатор накоплений'!E22),"",'Навигатор накоплений'!E22)</f>
        <v/>
      </c>
      <c r="L7" s="45" t="str">
        <f>IF(K7="","",MIN(EDATE('Навигатор накоплений'!E22,1),'Навигатор накоплений'!F22))</f>
        <v/>
      </c>
      <c r="M7" s="46" t="str">
        <f>IF(K7="","",ROUND('Навигатор накоплений'!C22*'Навигатор накоплений'!D22*IF(YEAR(K7)=YEAR(L7-1),(L7-K7)/(DATE(YEAR(K7),12,31)-DATE(YEAR(K7),1,1)+1),(DATE(YEAR(K7)+1,1,1)-K7)/(DATE(YEAR(K7),12,31)-DATE(YEAR(K7),1,1)+1)+(L7-DATE(YEAR(L7),1,1))/(DATE(YEAR(L7),12,31)-DATE(YEAR(L7),1,1)+1)),2))</f>
        <v/>
      </c>
      <c r="N7" s="46" t="str">
        <f>IF(K7="","",ROUND('Навигатор накоплений'!C22+M7+IF(L7&lt;'Навигатор накоплений'!F22,N('Навигатор накоплений'!G22),0),2))</f>
        <v/>
      </c>
      <c r="P7" s="45" t="str">
        <f>IF(OR('Навигатор накоплений'!A23="",'Навигатор накоплений'!E23="",'Навигатор накоплений'!F23="",'Навигатор накоплений'!F23&lt;='Навигатор накоплений'!E23),"",'Навигатор накоплений'!E23)</f>
        <v/>
      </c>
      <c r="Q7" s="45" t="str">
        <f>IF(P7="","",MIN(EDATE('Навигатор накоплений'!E23,1),'Навигатор накоплений'!F23))</f>
        <v/>
      </c>
      <c r="R7" s="46" t="str">
        <f>IF(P7="","",ROUND('Навигатор накоплений'!C23*'Навигатор накоплений'!D23*IF(YEAR(P7)=YEAR(Q7-1),(Q7-P7)/(DATE(YEAR(P7),12,31)-DATE(YEAR(P7),1,1)+1),(DATE(YEAR(P7)+1,1,1)-P7)/(DATE(YEAR(P7),12,31)-DATE(YEAR(P7),1,1)+1)+(Q7-DATE(YEAR(Q7),1,1))/(DATE(YEAR(Q7),12,31)-DATE(YEAR(Q7),1,1)+1)),2))</f>
        <v/>
      </c>
      <c r="S7" s="46" t="str">
        <f>IF(P7="","",ROUND('Навигатор накоплений'!C23+R7+IF(Q7&lt;'Навигатор накоплений'!F23,N('Навигатор накоплений'!G23),0),2))</f>
        <v/>
      </c>
      <c r="U7" s="45" t="str">
        <f>IF(OR('Навигатор накоплений'!A24="",'Навигатор накоплений'!E24="",'Навигатор накоплений'!F24="",'Навигатор накоплений'!F24&lt;='Навигатор накоплений'!E24),"",'Навигатор накоплений'!E24)</f>
        <v/>
      </c>
      <c r="V7" s="45" t="str">
        <f>IF(U7="","",MIN(EDATE('Навигатор накоплений'!E24,1),'Навигатор накоплений'!F24))</f>
        <v/>
      </c>
      <c r="W7" s="46" t="str">
        <f>IF(U7="","",ROUND('Навигатор накоплений'!C24*'Навигатор накоплений'!D24*IF(YEAR(U7)=YEAR(V7-1),(V7-U7)/(DATE(YEAR(U7),12,31)-DATE(YEAR(U7),1,1)+1),(DATE(YEAR(U7)+1,1,1)-U7)/(DATE(YEAR(U7),12,31)-DATE(YEAR(U7),1,1)+1)+(V7-DATE(YEAR(V7),1,1))/(DATE(YEAR(V7),12,31)-DATE(YEAR(V7),1,1)+1)),2))</f>
        <v/>
      </c>
      <c r="X7" s="46" t="str">
        <f>IF(U7="","",ROUND('Навигатор накоплений'!C24+W7+IF(V7&lt;'Навигатор накоплений'!F24,N('Навигатор накоплений'!G24),0),2))</f>
        <v/>
      </c>
      <c r="Z7" s="45" t="str">
        <f>IF(OR('Навигатор накоплений'!A25="",'Навигатор накоплений'!E25="",'Навигатор накоплений'!F25="",'Навигатор накоплений'!F25&lt;='Навигатор накоплений'!E25),"",'Навигатор накоплений'!E25)</f>
        <v/>
      </c>
      <c r="AA7" s="45" t="str">
        <f>IF(Z7="","",MIN(EDATE('Навигатор накоплений'!E25,1),'Навигатор накоплений'!F25))</f>
        <v/>
      </c>
      <c r="AB7" s="46" t="str">
        <f>IF(Z7="","",ROUND('Навигатор накоплений'!C25*'Навигатор накоплений'!D25*IF(YEAR(Z7)=YEAR(AA7-1),(AA7-Z7)/(DATE(YEAR(Z7),12,31)-DATE(YEAR(Z7),1,1)+1),(DATE(YEAR(Z7)+1,1,1)-Z7)/(DATE(YEAR(Z7),12,31)-DATE(YEAR(Z7),1,1)+1)+(AA7-DATE(YEAR(AA7),1,1))/(DATE(YEAR(AA7),12,31)-DATE(YEAR(AA7),1,1)+1)),2))</f>
        <v/>
      </c>
      <c r="AC7" s="46" t="str">
        <f>IF(Z7="","",ROUND('Навигатор накоплений'!C25+AB7+IF(AA7&lt;'Навигатор накоплений'!F25,N('Навигатор накоплений'!G25),0),2))</f>
        <v/>
      </c>
      <c r="AE7" t="str">
        <f>IF(OR('Навигатор накоплений'!A26="",'Навигатор накоплений'!E26="",'Навигатор накоплений'!F26="",'Навигатор накоплений'!F26&lt;='Навигатор накоплений'!E26),"",'Навигатор накоплений'!E26)</f>
        <v/>
      </c>
      <c r="AF7" t="str">
        <f>IF(AE7="","",MIN(EDATE('Навигатор накоплений'!E26,1),'Навигатор накоплений'!F26))</f>
        <v/>
      </c>
      <c r="AG7" t="str">
        <f>IF(AE7="","",ROUND('Навигатор накоплений'!C26*'Навигатор накоплений'!D26*IF(YEAR(AE7)=YEAR(AF7-1),(AF7-AE7)/(DATE(YEAR(AE7),12,31)-DATE(YEAR(AE7),1,1)+1),(DATE(YEAR(AE7)+1,1,1)-AE7)/(DATE(YEAR(AE7),12,31)-DATE(YEAR(AE7),1,1)+1)+(AF7-DATE(YEAR(AF7),1,1))/(DATE(YEAR(AF7),12,31)-DATE(YEAR(AF7),1,1)+1)),2))</f>
        <v/>
      </c>
      <c r="AH7" t="str">
        <f>IF(AE7="","",ROUND('Навигатор накоплений'!C26+AG7+IF(AF7&lt;'Навигатор накоплений'!F26,N('Навигатор накоплений'!G26),0),2))</f>
        <v/>
      </c>
      <c r="AJ7" t="str">
        <f>IF(OR('Навигатор накоплений'!A27="",'Навигатор накоплений'!E27="",'Навигатор накоплений'!F27="",'Навигатор накоплений'!F27&lt;='Навигатор накоплений'!E27),"",'Навигатор накоплений'!E27)</f>
        <v/>
      </c>
      <c r="AK7" t="str">
        <f>IF(AJ7="","",MIN(EDATE('Навигатор накоплений'!E27,1),'Навигатор накоплений'!F27))</f>
        <v/>
      </c>
      <c r="AL7" t="str">
        <f>IF(AJ7="","",ROUND('Навигатор накоплений'!C27*'Навигатор накоплений'!D27*IF(YEAR(AJ7)=YEAR(AK7-1),(AK7-AJ7)/(DATE(YEAR(AJ7),12,31)-DATE(YEAR(AJ7),1,1)+1),(DATE(YEAR(AJ7)+1,1,1)-AJ7)/(DATE(YEAR(AJ7),12,31)-DATE(YEAR(AJ7),1,1)+1)+(AK7-DATE(YEAR(AK7),1,1))/(DATE(YEAR(AK7),12,31)-DATE(YEAR(AK7),1,1)+1)),2))</f>
        <v/>
      </c>
      <c r="AM7" t="str">
        <f>IF(AJ7="","",ROUND('Навигатор накоплений'!C27+AL7+IF(AK7&lt;'Навигатор накоплений'!F27,N('Навигатор накоплений'!G27),0),2))</f>
        <v/>
      </c>
      <c r="AO7" t="str">
        <f>IF(OR('Навигатор накоплений'!A28="",'Навигатор накоплений'!E28="",'Навигатор накоплений'!F28="",'Навигатор накоплений'!F28&lt;='Навигатор накоплений'!E28),"",'Навигатор накоплений'!E28)</f>
        <v/>
      </c>
      <c r="AP7" t="str">
        <f>IF(AO7="","",MIN(EDATE('Навигатор накоплений'!E28,1),'Навигатор накоплений'!F28))</f>
        <v/>
      </c>
      <c r="AQ7" t="str">
        <f>IF(AO7="","",ROUND('Навигатор накоплений'!C28*'Навигатор накоплений'!D28*IF(YEAR(AO7)=YEAR(AP7-1),(AP7-AO7)/(DATE(YEAR(AO7),12,31)-DATE(YEAR(AO7),1,1)+1),(DATE(YEAR(AO7)+1,1,1)-AO7)/(DATE(YEAR(AO7),12,31)-DATE(YEAR(AO7),1,1)+1)+(AP7-DATE(YEAR(AP7),1,1))/(DATE(YEAR(AP7),12,31)-DATE(YEAR(AP7),1,1)+1)),2))</f>
        <v/>
      </c>
      <c r="AR7" t="str">
        <f>IF(AO7="","",ROUND('Навигатор накоплений'!C28+AQ7+IF(AP7&lt;'Навигатор накоплений'!F28,N('Навигатор накоплений'!G28),0),2))</f>
        <v/>
      </c>
      <c r="AT7">
        <f t="shared" ref="AT7:AT38" si="0">IF(OR(K7="",L7="",M7="",L7&lt;=K7),0,ROUND(M7*MAX(0,MIN(L7,DATE(2027,1,1))-MAX(K7,DATE(2026,1,1)))/(L7-K7),2))</f>
        <v>0</v>
      </c>
      <c r="AU7">
        <f t="shared" ref="AU7:AU38" si="1">IF(OR(P7="",Q7="",R7="",Q7&lt;=P7),0,ROUND(R7*MAX(0,MIN(Q7,DATE(2027,1,1))-MAX(P7,DATE(2026,1,1)))/(Q7-P7),2))</f>
        <v>0</v>
      </c>
      <c r="AV7">
        <f t="shared" ref="AV7:AV38" si="2">IF(OR(U7="",V7="",W7="",V7&lt;=U7),0,ROUND(W7*MAX(0,MIN(V7,DATE(2027,1,1))-MAX(U7,DATE(2026,1,1)))/(V7-U7),2))</f>
        <v>0</v>
      </c>
      <c r="AW7">
        <f t="shared" ref="AW7:AW38" si="3">IF(OR(Z7="",AA7="",AB7="",AA7&lt;=Z7),0,ROUND(AB7*MAX(0,MIN(AA7,DATE(2027,1,1))-MAX(Z7,DATE(2026,1,1)))/(AA7-Z7),2))</f>
        <v>0</v>
      </c>
      <c r="AX7">
        <f t="shared" ref="AX7:AX38" si="4">IF(OR(AE7="",AF7="",AG7="",AF7&lt;=AE7),0,ROUND(AG7*MAX(0,MIN(AF7,DATE(2027,1,1))-MAX(AE7,DATE(2026,1,1)))/(AF7-AE7),2))</f>
        <v>0</v>
      </c>
      <c r="AY7">
        <f t="shared" ref="AY7:AY38" si="5">IF(OR(AJ7="",AK7="",AL7="",AK7&lt;=AJ7),0,ROUND(AL7*MAX(0,MIN(AK7,DATE(2027,1,1))-MAX(AJ7,DATE(2026,1,1)))/(AK7-AJ7),2))</f>
        <v>0</v>
      </c>
      <c r="AZ7">
        <f t="shared" ref="AZ7:AZ38" si="6">IF(OR(AO7="",AP7="",AQ7="",AP7&lt;=AO7),0,ROUND(AQ7*MAX(0,MIN(AP7,DATE(2027,1,1))-MAX(AO7,DATE(2026,1,1)))/(AP7-AO7),2))</f>
        <v>0</v>
      </c>
      <c r="BA7">
        <f t="shared" ref="BA7:BA18" si="7">IF(OR(B10="",C10="",H10="",C10&lt;=B10),0,ROUND(H10*MAX(0,MIN(C10,DATE(2027,1,1))-MAX(B10,DATE(2026,1,1)))/(C10-B10),2))</f>
        <v>0</v>
      </c>
      <c r="BB7">
        <f t="shared" ref="BB7:BB18" si="8">IF(OR(B27="",C27="",H27="",C27&lt;=B27),0,ROUND(H27*MAX(0,MIN(C27,DATE(2027,1,1))-MAX(B27,DATE(2026,1,1)))/(C27-B27),2))</f>
        <v>0</v>
      </c>
      <c r="BC7">
        <f t="shared" ref="BC7:BC18" si="9">IF(OR(B44="",C44="",H44="",C44&lt;=B44),0,ROUND(H44*MAX(0,MIN(C44,DATE(2027,1,1))-MAX(B44,DATE(2026,1,1)))/(C44-B44),2))</f>
        <v>0</v>
      </c>
      <c r="BD7">
        <f t="shared" ref="BD7:BD18" si="10">IF(OR(B61="",C61="",H61="",C61&lt;=B61),0,ROUND(H61*MAX(0,MIN(C61,DATE(2027,1,1))-MAX(B61,DATE(2026,1,1)))/(C61-B61),2))</f>
        <v>0</v>
      </c>
      <c r="BE7">
        <f t="shared" ref="BE7:BE18" si="11">IF(OR(B78="",C78="",H78="",C78&lt;=B78),0,ROUND(H78*MAX(0,MIN(C78,DATE(2027,1,1))-MAX(B78,DATE(2026,1,1)))/(C78-B78),2))</f>
        <v>0</v>
      </c>
      <c r="BF7">
        <f t="shared" ref="BF7:BF18" si="12">IF(OR(B95="",C95="",H95="",C95&lt;=B95),0,ROUND(H95*MAX(0,MIN(C95,DATE(2027,1,1))-MAX(B95,DATE(2026,1,1)))/(C95-B95),2))</f>
        <v>0</v>
      </c>
      <c r="BG7"/>
    </row>
    <row r="8" spans="1:59" ht="15" x14ac:dyDescent="0.2">
      <c r="A8" s="100" t="str">
        <f>IF('Навигатор накоплений'!A31="","Счет не заполнен","Счет: "&amp;'Навигатор накоплений'!A31&amp;" — "&amp;'Навигатор накоплений'!B31)</f>
        <v>Счет не заполнен</v>
      </c>
      <c r="B8" s="100"/>
      <c r="C8" s="100"/>
      <c r="D8" s="100"/>
      <c r="E8" s="100"/>
      <c r="F8" s="100"/>
      <c r="G8" s="100"/>
      <c r="H8" s="100"/>
      <c r="I8" s="100"/>
      <c r="K8" s="45" t="str">
        <f>IF('Навигатор накоплений'!A22="","",IF(2&lt;=DATEDIF('Навигатор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накоплений'!F22,1,0),L7,""))</f>
        <v/>
      </c>
      <c r="L8" s="45" t="str">
        <f>IF(K8="","",MIN(EDATE('Навигатор накоплений'!E22,2),'Навигатор накоплений'!F22))</f>
        <v/>
      </c>
      <c r="M8" s="46" t="str">
        <f>IF(K8="","",ROUND(N7*'Навигатор накоплений'!D22*IF(YEAR(K8)=YEAR(L8-1),(L8-K8)/(DATE(YEAR(K8),12,31)-DATE(YEAR(K8),1,1)+1),(DATE(YEAR(K8)+1,1,1)-K8)/(DATE(YEAR(K8),12,31)-DATE(YEAR(K8),1,1)+1)+(L8-DATE(YEAR(L8),1,1))/(DATE(YEAR(L8),12,31)-DATE(YEAR(L8),1,1)+1)),2))</f>
        <v/>
      </c>
      <c r="N8" s="46" t="str">
        <f>IF(K8="","",ROUND(N7+M8+IF(L8&lt;'Навигатор накоплений'!F22,N('Навигатор накоплений'!G22),0),2))</f>
        <v/>
      </c>
      <c r="P8" s="45" t="str">
        <f>IF('Навигатор накоплений'!A23="","",IF(2&lt;=DATEDIF('Навигатор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накоплений'!F23,1,0),Q7,""))</f>
        <v/>
      </c>
      <c r="Q8" s="45" t="str">
        <f>IF(P8="","",MIN(EDATE('Навигатор накоплений'!E23,2),'Навигатор накоплений'!F23))</f>
        <v/>
      </c>
      <c r="R8" s="46" t="str">
        <f>IF(P8="","",ROUND(S7*'Навигатор накоплений'!D23*IF(YEAR(P8)=YEAR(Q8-1),(Q8-P8)/(DATE(YEAR(P8),12,31)-DATE(YEAR(P8),1,1)+1),(DATE(YEAR(P8)+1,1,1)-P8)/(DATE(YEAR(P8),12,31)-DATE(YEAR(P8),1,1)+1)+(Q8-DATE(YEAR(Q8),1,1))/(DATE(YEAR(Q8),12,31)-DATE(YEAR(Q8),1,1)+1)),2))</f>
        <v/>
      </c>
      <c r="S8" s="46" t="str">
        <f>IF(P8="","",ROUND(S7+R8+IF(Q8&lt;'Навигатор накоплений'!F23,N('Навигатор накоплений'!G23),0),2))</f>
        <v/>
      </c>
      <c r="U8" s="45" t="str">
        <f>IF('Навигатор накоплений'!A24="","",IF(2&lt;=DATEDIF('Навигатор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накоплений'!F24,1,0),V7,""))</f>
        <v/>
      </c>
      <c r="V8" s="45" t="str">
        <f>IF(U8="","",MIN(EDATE('Навигатор накоплений'!E24,2),'Навигатор накоплений'!F24))</f>
        <v/>
      </c>
      <c r="W8" s="46" t="str">
        <f>IF(U8="","",ROUND(X7*'Навигатор накоплений'!D24*IF(YEAR(U8)=YEAR(V8-1),(V8-U8)/(DATE(YEAR(U8),12,31)-DATE(YEAR(U8),1,1)+1),(DATE(YEAR(U8)+1,1,1)-U8)/(DATE(YEAR(U8),12,31)-DATE(YEAR(U8),1,1)+1)+(V8-DATE(YEAR(V8),1,1))/(DATE(YEAR(V8),12,31)-DATE(YEAR(V8),1,1)+1)),2))</f>
        <v/>
      </c>
      <c r="X8" s="46" t="str">
        <f>IF(U8="","",ROUND(X7+W8+IF(V8&lt;'Навигатор накоплений'!F24,N('Навигатор накоплений'!G24),0),2))</f>
        <v/>
      </c>
      <c r="Z8" s="45" t="str">
        <f>IF('Навигатор накоплений'!A25="","",IF(2&lt;=DATEDIF('Навигатор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накоплений'!F25,1,0),AA7,""))</f>
        <v/>
      </c>
      <c r="AA8" s="45" t="str">
        <f>IF(Z8="","",MIN(EDATE('Навигатор накоплений'!E25,2),'Навигатор накоплений'!F25))</f>
        <v/>
      </c>
      <c r="AB8" s="46" t="str">
        <f>IF(Z8="","",ROUND(AC7*'Навигатор накоплений'!D25*IF(YEAR(Z8)=YEAR(AA8-1),(AA8-Z8)/(DATE(YEAR(Z8),12,31)-DATE(YEAR(Z8),1,1)+1),(DATE(YEAR(Z8)+1,1,1)-Z8)/(DATE(YEAR(Z8),12,31)-DATE(YEAR(Z8),1,1)+1)+(AA8-DATE(YEAR(AA8),1,1))/(DATE(YEAR(AA8),12,31)-DATE(YEAR(AA8),1,1)+1)),2))</f>
        <v/>
      </c>
      <c r="AC8" s="46" t="str">
        <f>IF(Z8="","",ROUND(AC7+AB8+IF(AA8&lt;'Навигатор накоплений'!F25,N('Навигатор накоплений'!G25),0),2))</f>
        <v/>
      </c>
      <c r="AE8" t="str">
        <f>IF('Навигатор накоплений'!A26="","",IF(2&lt;=DATEDIF('Навигатор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накоплений'!F26,1,0),AF7,""))</f>
        <v/>
      </c>
      <c r="AF8" t="str">
        <f>IF(AE8="","",MIN(EDATE('Навигатор накоплений'!E26,2),'Навигатор накоплений'!F26))</f>
        <v/>
      </c>
      <c r="AG8" t="str">
        <f>IF(AE8="","",ROUND(AH7*'Навигатор накоплений'!D26*IF(YEAR(AE8)=YEAR(AF8-1),(AF8-AE8)/(DATE(YEAR(AE8),12,31)-DATE(YEAR(AE8),1,1)+1),(DATE(YEAR(AE8)+1,1,1)-AE8)/(DATE(YEAR(AE8),12,31)-DATE(YEAR(AE8),1,1)+1)+(AF8-DATE(YEAR(AF8),1,1))/(DATE(YEAR(AF8),12,31)-DATE(YEAR(AF8),1,1)+1)),2))</f>
        <v/>
      </c>
      <c r="AH8" t="str">
        <f>IF(AE8="","",ROUND(AH7+AG8+IF(AF8&lt;'Навигатор накоплений'!F26,N('Навигатор накоплений'!G26),0),2))</f>
        <v/>
      </c>
      <c r="AJ8" t="str">
        <f>IF('Навигатор накоплений'!A27="","",IF(2&lt;=DATEDIF('Навигатор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накоплений'!F27,1,0),AK7,""))</f>
        <v/>
      </c>
      <c r="AK8" t="str">
        <f>IF(AJ8="","",MIN(EDATE('Навигатор накоплений'!E27,2),'Навигатор накоплений'!F27))</f>
        <v/>
      </c>
      <c r="AL8" t="str">
        <f>IF(AJ8="","",ROUND(AM7*'Навигатор накоплений'!D27*IF(YEAR(AJ8)=YEAR(AK8-1),(AK8-AJ8)/(DATE(YEAR(AJ8),12,31)-DATE(YEAR(AJ8),1,1)+1),(DATE(YEAR(AJ8)+1,1,1)-AJ8)/(DATE(YEAR(AJ8),12,31)-DATE(YEAR(AJ8),1,1)+1)+(AK8-DATE(YEAR(AK8),1,1))/(DATE(YEAR(AK8),12,31)-DATE(YEAR(AK8),1,1)+1)),2))</f>
        <v/>
      </c>
      <c r="AM8" t="str">
        <f>IF(AJ8="","",ROUND(AM7+AL8+IF(AK8&lt;'Навигатор накоплений'!F27,N('Навигатор накоплений'!G27),0),2))</f>
        <v/>
      </c>
      <c r="AO8" t="str">
        <f>IF('Навигатор накоплений'!A28="","",IF(2&lt;=DATEDIF('Навигатор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накоплений'!F28,1,0),AP7,""))</f>
        <v/>
      </c>
      <c r="AP8" t="str">
        <f>IF(AO8="","",MIN(EDATE('Навигатор накоплений'!E28,2),'Навигатор накоплений'!F28))</f>
        <v/>
      </c>
      <c r="AQ8" t="str">
        <f>IF(AO8="","",ROUND(AR7*'Навигатор накоплений'!D28*IF(YEAR(AO8)=YEAR(AP8-1),(AP8-AO8)/(DATE(YEAR(AO8),12,31)-DATE(YEAR(AO8),1,1)+1),(DATE(YEAR(AO8)+1,1,1)-AO8)/(DATE(YEAR(AO8),12,31)-DATE(YEAR(AO8),1,1)+1)+(AP8-DATE(YEAR(AP8),1,1))/(DATE(YEAR(AP8),12,31)-DATE(YEAR(AP8),1,1)+1)),2))</f>
        <v/>
      </c>
      <c r="AR8" t="str">
        <f>IF(AO8="","",ROUND(AR7+AQ8+IF(AP8&lt;'Навигатор накоплений'!F28,N('Навигатор накоплений'!G28),0),2))</f>
        <v/>
      </c>
      <c r="AT8">
        <f t="shared" si="0"/>
        <v>0</v>
      </c>
      <c r="AU8">
        <f t="shared" si="1"/>
        <v>0</v>
      </c>
      <c r="AV8">
        <f t="shared" si="2"/>
        <v>0</v>
      </c>
      <c r="AW8">
        <f t="shared" si="3"/>
        <v>0</v>
      </c>
      <c r="AX8">
        <f t="shared" si="4"/>
        <v>0</v>
      </c>
      <c r="AY8">
        <f t="shared" si="5"/>
        <v>0</v>
      </c>
      <c r="AZ8">
        <f t="shared" si="6"/>
        <v>0</v>
      </c>
      <c r="BA8">
        <f t="shared" si="7"/>
        <v>0</v>
      </c>
      <c r="BB8">
        <f t="shared" si="8"/>
        <v>0</v>
      </c>
      <c r="BC8">
        <f t="shared" si="9"/>
        <v>0</v>
      </c>
      <c r="BD8">
        <f t="shared" si="10"/>
        <v>0</v>
      </c>
      <c r="BE8">
        <f t="shared" si="11"/>
        <v>0</v>
      </c>
      <c r="BF8">
        <f t="shared" si="12"/>
        <v>0</v>
      </c>
      <c r="BG8"/>
    </row>
    <row r="9" spans="1:59" ht="15" x14ac:dyDescent="0.2">
      <c r="A9" s="47" t="s">
        <v>53</v>
      </c>
      <c r="B9" s="47" t="s">
        <v>49</v>
      </c>
      <c r="C9" s="47" t="s">
        <v>50</v>
      </c>
      <c r="D9" s="47" t="s">
        <v>54</v>
      </c>
      <c r="E9" s="47" t="s">
        <v>55</v>
      </c>
      <c r="F9" s="47" t="s">
        <v>56</v>
      </c>
      <c r="G9" s="47" t="s">
        <v>57</v>
      </c>
      <c r="H9" s="47" t="s">
        <v>51</v>
      </c>
      <c r="I9" s="47" t="s">
        <v>52</v>
      </c>
      <c r="K9" s="45" t="str">
        <f>IF('Навигатор накоплений'!A22="","",IF(3&lt;=DATEDIF('Навигатор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накоплений'!F22,1,0),L8,""))</f>
        <v/>
      </c>
      <c r="L9" s="45" t="str">
        <f>IF(K9="","",MIN(EDATE('Навигатор накоплений'!E22,3),'Навигатор накоплений'!F22))</f>
        <v/>
      </c>
      <c r="M9" s="46" t="str">
        <f>IF(K9="","",ROUND(N8*'Навигатор накоплений'!D22*IF(YEAR(K9)=YEAR(L9-1),(L9-K9)/(DATE(YEAR(K9),12,31)-DATE(YEAR(K9),1,1)+1),(DATE(YEAR(K9)+1,1,1)-K9)/(DATE(YEAR(K9),12,31)-DATE(YEAR(K9),1,1)+1)+(L9-DATE(YEAR(L9),1,1))/(DATE(YEAR(L9),12,31)-DATE(YEAR(L9),1,1)+1)),2))</f>
        <v/>
      </c>
      <c r="N9" s="46" t="str">
        <f>IF(K9="","",ROUND(N8+M9+IF(L9&lt;'Навигатор накоплений'!F22,N('Навигатор накоплений'!G22),0),2))</f>
        <v/>
      </c>
      <c r="P9" s="45" t="str">
        <f>IF('Навигатор накоплений'!A23="","",IF(3&lt;=DATEDIF('Навигатор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накоплений'!F23,1,0),Q8,""))</f>
        <v/>
      </c>
      <c r="Q9" s="45" t="str">
        <f>IF(P9="","",MIN(EDATE('Навигатор накоплений'!E23,3),'Навигатор накоплений'!F23))</f>
        <v/>
      </c>
      <c r="R9" s="46" t="str">
        <f>IF(P9="","",ROUND(S8*'Навигатор накоплений'!D23*IF(YEAR(P9)=YEAR(Q9-1),(Q9-P9)/(DATE(YEAR(P9),12,31)-DATE(YEAR(P9),1,1)+1),(DATE(YEAR(P9)+1,1,1)-P9)/(DATE(YEAR(P9),12,31)-DATE(YEAR(P9),1,1)+1)+(Q9-DATE(YEAR(Q9),1,1))/(DATE(YEAR(Q9),12,31)-DATE(YEAR(Q9),1,1)+1)),2))</f>
        <v/>
      </c>
      <c r="S9" s="46" t="str">
        <f>IF(P9="","",ROUND(S8+R9+IF(Q9&lt;'Навигатор накоплений'!F23,N('Навигатор накоплений'!G23),0),2))</f>
        <v/>
      </c>
      <c r="U9" s="45" t="str">
        <f>IF('Навигатор накоплений'!A24="","",IF(3&lt;=DATEDIF('Навигатор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накоплений'!F24,1,0),V8,""))</f>
        <v/>
      </c>
      <c r="V9" s="45" t="str">
        <f>IF(U9="","",MIN(EDATE('Навигатор накоплений'!E24,3),'Навигатор накоплений'!F24))</f>
        <v/>
      </c>
      <c r="W9" s="46" t="str">
        <f>IF(U9="","",ROUND(X8*'Навигатор накоплений'!D24*IF(YEAR(U9)=YEAR(V9-1),(V9-U9)/(DATE(YEAR(U9),12,31)-DATE(YEAR(U9),1,1)+1),(DATE(YEAR(U9)+1,1,1)-U9)/(DATE(YEAR(U9),12,31)-DATE(YEAR(U9),1,1)+1)+(V9-DATE(YEAR(V9),1,1))/(DATE(YEAR(V9),12,31)-DATE(YEAR(V9),1,1)+1)),2))</f>
        <v/>
      </c>
      <c r="X9" s="46" t="str">
        <f>IF(U9="","",ROUND(X8+W9+IF(V9&lt;'Навигатор накоплений'!F24,N('Навигатор накоплений'!G24),0),2))</f>
        <v/>
      </c>
      <c r="Z9" s="45" t="str">
        <f>IF('Навигатор накоплений'!A25="","",IF(3&lt;=DATEDIF('Навигатор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накоплений'!F25,1,0),AA8,""))</f>
        <v/>
      </c>
      <c r="AA9" s="45" t="str">
        <f>IF(Z9="","",MIN(EDATE('Навигатор накоплений'!E25,3),'Навигатор накоплений'!F25))</f>
        <v/>
      </c>
      <c r="AB9" s="46" t="str">
        <f>IF(Z9="","",ROUND(AC8*'Навигатор накоплений'!D25*IF(YEAR(Z9)=YEAR(AA9-1),(AA9-Z9)/(DATE(YEAR(Z9),12,31)-DATE(YEAR(Z9),1,1)+1),(DATE(YEAR(Z9)+1,1,1)-Z9)/(DATE(YEAR(Z9),12,31)-DATE(YEAR(Z9),1,1)+1)+(AA9-DATE(YEAR(AA9),1,1))/(DATE(YEAR(AA9),12,31)-DATE(YEAR(AA9),1,1)+1)),2))</f>
        <v/>
      </c>
      <c r="AC9" s="46" t="str">
        <f>IF(Z9="","",ROUND(AC8+AB9+IF(AA9&lt;'Навигатор накоплений'!F25,N('Навигатор накоплений'!G25),0),2))</f>
        <v/>
      </c>
      <c r="AE9" t="str">
        <f>IF('Навигатор накоплений'!A26="","",IF(3&lt;=DATEDIF('Навигатор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накоплений'!F26,1,0),AF8,""))</f>
        <v/>
      </c>
      <c r="AF9" t="str">
        <f>IF(AE9="","",MIN(EDATE('Навигатор накоплений'!E26,3),'Навигатор накоплений'!F26))</f>
        <v/>
      </c>
      <c r="AG9" t="str">
        <f>IF(AE9="","",ROUND(AH8*'Навигатор накоплений'!D26*IF(YEAR(AE9)=YEAR(AF9-1),(AF9-AE9)/(DATE(YEAR(AE9),12,31)-DATE(YEAR(AE9),1,1)+1),(DATE(YEAR(AE9)+1,1,1)-AE9)/(DATE(YEAR(AE9),12,31)-DATE(YEAR(AE9),1,1)+1)+(AF9-DATE(YEAR(AF9),1,1))/(DATE(YEAR(AF9),12,31)-DATE(YEAR(AF9),1,1)+1)),2))</f>
        <v/>
      </c>
      <c r="AH9" t="str">
        <f>IF(AE9="","",ROUND(AH8+AG9+IF(AF9&lt;'Навигатор накоплений'!F26,N('Навигатор накоплений'!G26),0),2))</f>
        <v/>
      </c>
      <c r="AJ9" t="str">
        <f>IF('Навигатор накоплений'!A27="","",IF(3&lt;=DATEDIF('Навигатор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накоплений'!F27,1,0),AK8,""))</f>
        <v/>
      </c>
      <c r="AK9" t="str">
        <f>IF(AJ9="","",MIN(EDATE('Навигатор накоплений'!E27,3),'Навигатор накоплений'!F27))</f>
        <v/>
      </c>
      <c r="AL9" t="str">
        <f>IF(AJ9="","",ROUND(AM8*'Навигатор накоплений'!D27*IF(YEAR(AJ9)=YEAR(AK9-1),(AK9-AJ9)/(DATE(YEAR(AJ9),12,31)-DATE(YEAR(AJ9),1,1)+1),(DATE(YEAR(AJ9)+1,1,1)-AJ9)/(DATE(YEAR(AJ9),12,31)-DATE(YEAR(AJ9),1,1)+1)+(AK9-DATE(YEAR(AK9),1,1))/(DATE(YEAR(AK9),12,31)-DATE(YEAR(AK9),1,1)+1)),2))</f>
        <v/>
      </c>
      <c r="AM9" t="str">
        <f>IF(AJ9="","",ROUND(AM8+AL9+IF(AK9&lt;'Навигатор накоплений'!F27,N('Навигатор накоплений'!G27),0),2))</f>
        <v/>
      </c>
      <c r="AO9" t="str">
        <f>IF('Навигатор накоплений'!A28="","",IF(3&lt;=DATEDIF('Навигатор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накоплений'!F28,1,0),AP8,""))</f>
        <v/>
      </c>
      <c r="AP9" t="str">
        <f>IF(AO9="","",MIN(EDATE('Навигатор накоплений'!E28,3),'Навигатор накоплений'!F28))</f>
        <v/>
      </c>
      <c r="AQ9" t="str">
        <f>IF(AO9="","",ROUND(AR8*'Навигатор накоплений'!D28*IF(YEAR(AO9)=YEAR(AP9-1),(AP9-AO9)/(DATE(YEAR(AO9),12,31)-DATE(YEAR(AO9),1,1)+1),(DATE(YEAR(AO9)+1,1,1)-AO9)/(DATE(YEAR(AO9),12,31)-DATE(YEAR(AO9),1,1)+1)+(AP9-DATE(YEAR(AP9),1,1))/(DATE(YEAR(AP9),12,31)-DATE(YEAR(AP9),1,1)+1)),2))</f>
        <v/>
      </c>
      <c r="AR9" t="str">
        <f>IF(AO9="","",ROUND(AR8+AQ9+IF(AP9&lt;'Навигатор накоплений'!F28,N('Навигатор накоплений'!G28),0),2))</f>
        <v/>
      </c>
      <c r="AT9">
        <f t="shared" si="0"/>
        <v>0</v>
      </c>
      <c r="AU9">
        <f t="shared" si="1"/>
        <v>0</v>
      </c>
      <c r="AV9">
        <f t="shared" si="2"/>
        <v>0</v>
      </c>
      <c r="AW9">
        <f t="shared" si="3"/>
        <v>0</v>
      </c>
      <c r="AX9">
        <f t="shared" si="4"/>
        <v>0</v>
      </c>
      <c r="AY9">
        <f t="shared" si="5"/>
        <v>0</v>
      </c>
      <c r="AZ9">
        <f t="shared" si="6"/>
        <v>0</v>
      </c>
      <c r="BA9">
        <f t="shared" si="7"/>
        <v>0</v>
      </c>
      <c r="BB9">
        <f t="shared" si="8"/>
        <v>0</v>
      </c>
      <c r="BC9">
        <f t="shared" si="9"/>
        <v>0</v>
      </c>
      <c r="BD9">
        <f t="shared" si="10"/>
        <v>0</v>
      </c>
      <c r="BE9">
        <f t="shared" si="11"/>
        <v>0</v>
      </c>
      <c r="BF9">
        <f t="shared" si="12"/>
        <v>0</v>
      </c>
      <c r="BG9"/>
    </row>
    <row r="10" spans="1:59" ht="15" x14ac:dyDescent="0.2">
      <c r="A10" s="43">
        <v>1</v>
      </c>
      <c r="B10" s="45" t="str">
        <f>IF('Навигатор накоплений'!A31="","",EDATE('Навигатор накоплений'!C31,A10-1))</f>
        <v/>
      </c>
      <c r="C10" s="45" t="str">
        <f>IF(B10="","",EDATE('Навигатор накоплений'!C31,A10))</f>
        <v/>
      </c>
      <c r="D10" s="46" t="str">
        <f>IF(B10="","",'Навигатор накоплений'!D31)</f>
        <v/>
      </c>
      <c r="E10" s="46" t="str">
        <f>IF(B10="","",N('Навигатор накоплений'!G31))</f>
        <v/>
      </c>
      <c r="F10" s="46" t="str">
        <f>IF(B10="","",IF('Навигатор накоплений'!F31="Ежедневный остаток",D10+E10,D10))</f>
        <v/>
      </c>
      <c r="G10" s="48" t="str">
        <f t="shared" ref="G10:G21" si="13">IF(B10="","",C10-B10)</f>
        <v/>
      </c>
      <c r="H10" s="46" t="str">
        <f>IF(B10="","",ROUND(F10*'Навигатор накоплений'!E31*IF(YEAR(B10)=YEAR(C10-1),(C10-B10)/(DATE(YEAR(B10),12,31)-DATE(YEAR(B10),1,1)+1),(DATE(YEAR(B10)+1,1,1)-B10)/(DATE(YEAR(B10),12,31)-DATE(YEAR(B10),1,1)+1)+(C10-DATE(YEAR(C10),1,1))/(DATE(YEAR(C10),12,31)-DATE(YEAR(C10),1,1)+1)),2))</f>
        <v/>
      </c>
      <c r="I10" s="46" t="str">
        <f t="shared" ref="I10:I21" si="14">IF(B10="","",ROUND(D10+E10+H10,2))</f>
        <v/>
      </c>
      <c r="K10" s="45" t="str">
        <f>IF('Навигатор накоплений'!A22="","",IF(4&lt;=DATEDIF('Навигатор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накоплений'!F22,1,0),L9,""))</f>
        <v/>
      </c>
      <c r="L10" s="45" t="str">
        <f>IF(K10="","",MIN(EDATE('Навигатор накоплений'!E22,4),'Навигатор накоплений'!F22))</f>
        <v/>
      </c>
      <c r="M10" s="46" t="str">
        <f>IF(K10="","",ROUND(N9*'Навигатор накоплений'!D22*IF(YEAR(K10)=YEAR(L10-1),(L10-K10)/(DATE(YEAR(K10),12,31)-DATE(YEAR(K10),1,1)+1),(DATE(YEAR(K10)+1,1,1)-K10)/(DATE(YEAR(K10),12,31)-DATE(YEAR(K10),1,1)+1)+(L10-DATE(YEAR(L10),1,1))/(DATE(YEAR(L10),12,31)-DATE(YEAR(L10),1,1)+1)),2))</f>
        <v/>
      </c>
      <c r="N10" s="46" t="str">
        <f>IF(K10="","",ROUND(N9+M10+IF(L10&lt;'Навигатор накоплений'!F22,N('Навигатор накоплений'!G22),0),2))</f>
        <v/>
      </c>
      <c r="P10" s="45" t="str">
        <f>IF('Навигатор накоплений'!A23="","",IF(4&lt;=DATEDIF('Навигатор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накоплений'!F23,1,0),Q9,""))</f>
        <v/>
      </c>
      <c r="Q10" s="45" t="str">
        <f>IF(P10="","",MIN(EDATE('Навигатор накоплений'!E23,4),'Навигатор накоплений'!F23))</f>
        <v/>
      </c>
      <c r="R10" s="46" t="str">
        <f>IF(P10="","",ROUND(S9*'Навигатор накоплений'!D23*IF(YEAR(P10)=YEAR(Q10-1),(Q10-P10)/(DATE(YEAR(P10),12,31)-DATE(YEAR(P10),1,1)+1),(DATE(YEAR(P10)+1,1,1)-P10)/(DATE(YEAR(P10),12,31)-DATE(YEAR(P10),1,1)+1)+(Q10-DATE(YEAR(Q10),1,1))/(DATE(YEAR(Q10),12,31)-DATE(YEAR(Q10),1,1)+1)),2))</f>
        <v/>
      </c>
      <c r="S10" s="46" t="str">
        <f>IF(P10="","",ROUND(S9+R10+IF(Q10&lt;'Навигатор накоплений'!F23,N('Навигатор накоплений'!G23),0),2))</f>
        <v/>
      </c>
      <c r="U10" s="45" t="str">
        <f>IF('Навигатор накоплений'!A24="","",IF(4&lt;=DATEDIF('Навигатор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накоплений'!F24,1,0),V9,""))</f>
        <v/>
      </c>
      <c r="V10" s="45" t="str">
        <f>IF(U10="","",MIN(EDATE('Навигатор накоплений'!E24,4),'Навигатор накоплений'!F24))</f>
        <v/>
      </c>
      <c r="W10" s="46" t="str">
        <f>IF(U10="","",ROUND(X9*'Навигатор накоплений'!D24*IF(YEAR(U10)=YEAR(V10-1),(V10-U10)/(DATE(YEAR(U10),12,31)-DATE(YEAR(U10),1,1)+1),(DATE(YEAR(U10)+1,1,1)-U10)/(DATE(YEAR(U10),12,31)-DATE(YEAR(U10),1,1)+1)+(V10-DATE(YEAR(V10),1,1))/(DATE(YEAR(V10),12,31)-DATE(YEAR(V10),1,1)+1)),2))</f>
        <v/>
      </c>
      <c r="X10" s="46" t="str">
        <f>IF(U10="","",ROUND(X9+W10+IF(V10&lt;'Навигатор накоплений'!F24,N('Навигатор накоплений'!G24),0),2))</f>
        <v/>
      </c>
      <c r="Z10" s="45" t="str">
        <f>IF('Навигатор накоплений'!A25="","",IF(4&lt;=DATEDIF('Навигатор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накоплений'!F25,1,0),AA9,""))</f>
        <v/>
      </c>
      <c r="AA10" s="45" t="str">
        <f>IF(Z10="","",MIN(EDATE('Навигатор накоплений'!E25,4),'Навигатор накоплений'!F25))</f>
        <v/>
      </c>
      <c r="AB10" s="46" t="str">
        <f>IF(Z10="","",ROUND(AC9*'Навигатор накоплений'!D25*IF(YEAR(Z10)=YEAR(AA10-1),(AA10-Z10)/(DATE(YEAR(Z10),12,31)-DATE(YEAR(Z10),1,1)+1),(DATE(YEAR(Z10)+1,1,1)-Z10)/(DATE(YEAR(Z10),12,31)-DATE(YEAR(Z10),1,1)+1)+(AA10-DATE(YEAR(AA10),1,1))/(DATE(YEAR(AA10),12,31)-DATE(YEAR(AA10),1,1)+1)),2))</f>
        <v/>
      </c>
      <c r="AC10" s="46" t="str">
        <f>IF(Z10="","",ROUND(AC9+AB10+IF(AA10&lt;'Навигатор накоплений'!F25,N('Навигатор накоплений'!G25),0),2))</f>
        <v/>
      </c>
      <c r="AE10" t="str">
        <f>IF('Навигатор накоплений'!A26="","",IF(4&lt;=DATEDIF('Навигатор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накоплений'!F26,1,0),AF9,""))</f>
        <v/>
      </c>
      <c r="AF10" t="str">
        <f>IF(AE10="","",MIN(EDATE('Навигатор накоплений'!E26,4),'Навигатор накоплений'!F26))</f>
        <v/>
      </c>
      <c r="AG10" t="str">
        <f>IF(AE10="","",ROUND(AH9*'Навигатор накоплений'!D26*IF(YEAR(AE10)=YEAR(AF10-1),(AF10-AE10)/(DATE(YEAR(AE10),12,31)-DATE(YEAR(AE10),1,1)+1),(DATE(YEAR(AE10)+1,1,1)-AE10)/(DATE(YEAR(AE10),12,31)-DATE(YEAR(AE10),1,1)+1)+(AF10-DATE(YEAR(AF10),1,1))/(DATE(YEAR(AF10),12,31)-DATE(YEAR(AF10),1,1)+1)),2))</f>
        <v/>
      </c>
      <c r="AH10" t="str">
        <f>IF(AE10="","",ROUND(AH9+AG10+IF(AF10&lt;'Навигатор накоплений'!F26,N('Навигатор накоплений'!G26),0),2))</f>
        <v/>
      </c>
      <c r="AJ10" t="str">
        <f>IF('Навигатор накоплений'!A27="","",IF(4&lt;=DATEDIF('Навигатор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накоплений'!F27,1,0),AK9,""))</f>
        <v/>
      </c>
      <c r="AK10" t="str">
        <f>IF(AJ10="","",MIN(EDATE('Навигатор накоплений'!E27,4),'Навигатор накоплений'!F27))</f>
        <v/>
      </c>
      <c r="AL10" t="str">
        <f>IF(AJ10="","",ROUND(AM9*'Навигатор накоплений'!D27*IF(YEAR(AJ10)=YEAR(AK10-1),(AK10-AJ10)/(DATE(YEAR(AJ10),12,31)-DATE(YEAR(AJ10),1,1)+1),(DATE(YEAR(AJ10)+1,1,1)-AJ10)/(DATE(YEAR(AJ10),12,31)-DATE(YEAR(AJ10),1,1)+1)+(AK10-DATE(YEAR(AK10),1,1))/(DATE(YEAR(AK10),12,31)-DATE(YEAR(AK10),1,1)+1)),2))</f>
        <v/>
      </c>
      <c r="AM10" t="str">
        <f>IF(AJ10="","",ROUND(AM9+AL10+IF(AK10&lt;'Навигатор накоплений'!F27,N('Навигатор накоплений'!G27),0),2))</f>
        <v/>
      </c>
      <c r="AO10" t="str">
        <f>IF('Навигатор накоплений'!A28="","",IF(4&lt;=DATEDIF('Навигатор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накоплений'!F28,1,0),AP9,""))</f>
        <v/>
      </c>
      <c r="AP10" t="str">
        <f>IF(AO10="","",MIN(EDATE('Навигатор накоплений'!E28,4),'Навигатор накоплений'!F28))</f>
        <v/>
      </c>
      <c r="AQ10" t="str">
        <f>IF(AO10="","",ROUND(AR9*'Навигатор накоплений'!D28*IF(YEAR(AO10)=YEAR(AP10-1),(AP10-AO10)/(DATE(YEAR(AO10),12,31)-DATE(YEAR(AO10),1,1)+1),(DATE(YEAR(AO10)+1,1,1)-AO10)/(DATE(YEAR(AO10),12,31)-DATE(YEAR(AO10),1,1)+1)+(AP10-DATE(YEAR(AP10),1,1))/(DATE(YEAR(AP10),12,31)-DATE(YEAR(AP10),1,1)+1)),2))</f>
        <v/>
      </c>
      <c r="AR10" t="str">
        <f>IF(AO10="","",ROUND(AR9+AQ10+IF(AP10&lt;'Навигатор накоплений'!F28,N('Навигатор накоплений'!G28),0),2))</f>
        <v/>
      </c>
      <c r="AT10">
        <f t="shared" si="0"/>
        <v>0</v>
      </c>
      <c r="AU10">
        <f t="shared" si="1"/>
        <v>0</v>
      </c>
      <c r="AV10">
        <f t="shared" si="2"/>
        <v>0</v>
      </c>
      <c r="AW10">
        <f t="shared" si="3"/>
        <v>0</v>
      </c>
      <c r="AX10">
        <f t="shared" si="4"/>
        <v>0</v>
      </c>
      <c r="AY10">
        <f t="shared" si="5"/>
        <v>0</v>
      </c>
      <c r="AZ10">
        <f t="shared" si="6"/>
        <v>0</v>
      </c>
      <c r="BA10">
        <f t="shared" si="7"/>
        <v>0</v>
      </c>
      <c r="BB10">
        <f t="shared" si="8"/>
        <v>0</v>
      </c>
      <c r="BC10">
        <f t="shared" si="9"/>
        <v>0</v>
      </c>
      <c r="BD10">
        <f t="shared" si="10"/>
        <v>0</v>
      </c>
      <c r="BE10">
        <f t="shared" si="11"/>
        <v>0</v>
      </c>
      <c r="BF10">
        <f t="shared" si="12"/>
        <v>0</v>
      </c>
      <c r="BG10"/>
    </row>
    <row r="11" spans="1:59" ht="15" x14ac:dyDescent="0.2">
      <c r="A11" s="43">
        <v>2</v>
      </c>
      <c r="B11" s="45" t="str">
        <f>IF('Навигатор накоплений'!A31="","",EDATE('Навигатор накоплений'!C31,A11-1))</f>
        <v/>
      </c>
      <c r="C11" s="45" t="str">
        <f>IF(B11="","",EDATE('Навигатор накоплений'!C31,A11))</f>
        <v/>
      </c>
      <c r="D11" s="46" t="str">
        <f t="shared" ref="D11:D21" si="15">IF(B11="","",I10)</f>
        <v/>
      </c>
      <c r="E11" s="46" t="str">
        <f>IF(B11="","",N('Навигатор накоплений'!G31))</f>
        <v/>
      </c>
      <c r="F11" s="46" t="str">
        <f>IF(B11="","",IF('Навигатор накоплений'!F31="Ежедневный остаток",D11+E11,D11))</f>
        <v/>
      </c>
      <c r="G11" s="48" t="str">
        <f t="shared" si="13"/>
        <v/>
      </c>
      <c r="H11" s="46" t="str">
        <f>IF(B11="","",ROUND(F11*'Навигатор накоплений'!E31*IF(YEAR(B11)=YEAR(C11-1),(C11-B11)/(DATE(YEAR(B11),12,31)-DATE(YEAR(B11),1,1)+1),(DATE(YEAR(B11)+1,1,1)-B11)/(DATE(YEAR(B11),12,31)-DATE(YEAR(B11),1,1)+1)+(C11-DATE(YEAR(C11),1,1))/(DATE(YEAR(C11),12,31)-DATE(YEAR(C11),1,1)+1)),2))</f>
        <v/>
      </c>
      <c r="I11" s="46" t="str">
        <f t="shared" si="14"/>
        <v/>
      </c>
      <c r="K11" s="45" t="str">
        <f>IF('Навигатор накоплений'!A22="","",IF(5&lt;=DATEDIF('Навигатор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накоплений'!F22,1,0),L10,""))</f>
        <v/>
      </c>
      <c r="L11" s="45" t="str">
        <f>IF(K11="","",MIN(EDATE('Навигатор накоплений'!E22,5),'Навигатор накоплений'!F22))</f>
        <v/>
      </c>
      <c r="M11" s="46" t="str">
        <f>IF(K11="","",ROUND(N10*'Навигатор накоплений'!D22*IF(YEAR(K11)=YEAR(L11-1),(L11-K11)/(DATE(YEAR(K11),12,31)-DATE(YEAR(K11),1,1)+1),(DATE(YEAR(K11)+1,1,1)-K11)/(DATE(YEAR(K11),12,31)-DATE(YEAR(K11),1,1)+1)+(L11-DATE(YEAR(L11),1,1))/(DATE(YEAR(L11),12,31)-DATE(YEAR(L11),1,1)+1)),2))</f>
        <v/>
      </c>
      <c r="N11" s="46" t="str">
        <f>IF(K11="","",ROUND(N10+M11+IF(L11&lt;'Навигатор накоплений'!F22,N('Навигатор накоплений'!G22),0),2))</f>
        <v/>
      </c>
      <c r="P11" s="45" t="str">
        <f>IF('Навигатор накоплений'!A23="","",IF(5&lt;=DATEDIF('Навигатор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накоплений'!F23,1,0),Q10,""))</f>
        <v/>
      </c>
      <c r="Q11" s="45" t="str">
        <f>IF(P11="","",MIN(EDATE('Навигатор накоплений'!E23,5),'Навигатор накоплений'!F23))</f>
        <v/>
      </c>
      <c r="R11" s="46" t="str">
        <f>IF(P11="","",ROUND(S10*'Навигатор накоплений'!D23*IF(YEAR(P11)=YEAR(Q11-1),(Q11-P11)/(DATE(YEAR(P11),12,31)-DATE(YEAR(P11),1,1)+1),(DATE(YEAR(P11)+1,1,1)-P11)/(DATE(YEAR(P11),12,31)-DATE(YEAR(P11),1,1)+1)+(Q11-DATE(YEAR(Q11),1,1))/(DATE(YEAR(Q11),12,31)-DATE(YEAR(Q11),1,1)+1)),2))</f>
        <v/>
      </c>
      <c r="S11" s="46" t="str">
        <f>IF(P11="","",ROUND(S10+R11+IF(Q11&lt;'Навигатор накоплений'!F23,N('Навигатор накоплений'!G23),0),2))</f>
        <v/>
      </c>
      <c r="U11" s="45" t="str">
        <f>IF('Навигатор накоплений'!A24="","",IF(5&lt;=DATEDIF('Навигатор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накоплений'!F24,1,0),V10,""))</f>
        <v/>
      </c>
      <c r="V11" s="45" t="str">
        <f>IF(U11="","",MIN(EDATE('Навигатор накоплений'!E24,5),'Навигатор накоплений'!F24))</f>
        <v/>
      </c>
      <c r="W11" s="46" t="str">
        <f>IF(U11="","",ROUND(X10*'Навигатор накоплений'!D24*IF(YEAR(U11)=YEAR(V11-1),(V11-U11)/(DATE(YEAR(U11),12,31)-DATE(YEAR(U11),1,1)+1),(DATE(YEAR(U11)+1,1,1)-U11)/(DATE(YEAR(U11),12,31)-DATE(YEAR(U11),1,1)+1)+(V11-DATE(YEAR(V11),1,1))/(DATE(YEAR(V11),12,31)-DATE(YEAR(V11),1,1)+1)),2))</f>
        <v/>
      </c>
      <c r="X11" s="46" t="str">
        <f>IF(U11="","",ROUND(X10+W11+IF(V11&lt;'Навигатор накоплений'!F24,N('Навигатор накоплений'!G24),0),2))</f>
        <v/>
      </c>
      <c r="Z11" s="45" t="str">
        <f>IF('Навигатор накоплений'!A25="","",IF(5&lt;=DATEDIF('Навигатор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накоплений'!F25,1,0),AA10,""))</f>
        <v/>
      </c>
      <c r="AA11" s="45" t="str">
        <f>IF(Z11="","",MIN(EDATE('Навигатор накоплений'!E25,5),'Навигатор накоплений'!F25))</f>
        <v/>
      </c>
      <c r="AB11" s="46" t="str">
        <f>IF(Z11="","",ROUND(AC10*'Навигатор накоплений'!D25*IF(YEAR(Z11)=YEAR(AA11-1),(AA11-Z11)/(DATE(YEAR(Z11),12,31)-DATE(YEAR(Z11),1,1)+1),(DATE(YEAR(Z11)+1,1,1)-Z11)/(DATE(YEAR(Z11),12,31)-DATE(YEAR(Z11),1,1)+1)+(AA11-DATE(YEAR(AA11),1,1))/(DATE(YEAR(AA11),12,31)-DATE(YEAR(AA11),1,1)+1)),2))</f>
        <v/>
      </c>
      <c r="AC11" s="46" t="str">
        <f>IF(Z11="","",ROUND(AC10+AB11+IF(AA11&lt;'Навигатор накоплений'!F25,N('Навигатор накоплений'!G25),0),2))</f>
        <v/>
      </c>
      <c r="AE11" t="str">
        <f>IF('Навигатор накоплений'!A26="","",IF(5&lt;=DATEDIF('Навигатор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накоплений'!F26,1,0),AF10,""))</f>
        <v/>
      </c>
      <c r="AF11" t="str">
        <f>IF(AE11="","",MIN(EDATE('Навигатор накоплений'!E26,5),'Навигатор накоплений'!F26))</f>
        <v/>
      </c>
      <c r="AG11" t="str">
        <f>IF(AE11="","",ROUND(AH10*'Навигатор накоплений'!D26*IF(YEAR(AE11)=YEAR(AF11-1),(AF11-AE11)/(DATE(YEAR(AE11),12,31)-DATE(YEAR(AE11),1,1)+1),(DATE(YEAR(AE11)+1,1,1)-AE11)/(DATE(YEAR(AE11),12,31)-DATE(YEAR(AE11),1,1)+1)+(AF11-DATE(YEAR(AF11),1,1))/(DATE(YEAR(AF11),12,31)-DATE(YEAR(AF11),1,1)+1)),2))</f>
        <v/>
      </c>
      <c r="AH11" t="str">
        <f>IF(AE11="","",ROUND(AH10+AG11+IF(AF11&lt;'Навигатор накоплений'!F26,N('Навигатор накоплений'!G26),0),2))</f>
        <v/>
      </c>
      <c r="AJ11" t="str">
        <f>IF('Навигатор накоплений'!A27="","",IF(5&lt;=DATEDIF('Навигатор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накоплений'!F27,1,0),AK10,""))</f>
        <v/>
      </c>
      <c r="AK11" t="str">
        <f>IF(AJ11="","",MIN(EDATE('Навигатор накоплений'!E27,5),'Навигатор накоплений'!F27))</f>
        <v/>
      </c>
      <c r="AL11" t="str">
        <f>IF(AJ11="","",ROUND(AM10*'Навигатор накоплений'!D27*IF(YEAR(AJ11)=YEAR(AK11-1),(AK11-AJ11)/(DATE(YEAR(AJ11),12,31)-DATE(YEAR(AJ11),1,1)+1),(DATE(YEAR(AJ11)+1,1,1)-AJ11)/(DATE(YEAR(AJ11),12,31)-DATE(YEAR(AJ11),1,1)+1)+(AK11-DATE(YEAR(AK11),1,1))/(DATE(YEAR(AK11),12,31)-DATE(YEAR(AK11),1,1)+1)),2))</f>
        <v/>
      </c>
      <c r="AM11" t="str">
        <f>IF(AJ11="","",ROUND(AM10+AL11+IF(AK11&lt;'Навигатор накоплений'!F27,N('Навигатор накоплений'!G27),0),2))</f>
        <v/>
      </c>
      <c r="AO11" t="str">
        <f>IF('Навигатор накоплений'!A28="","",IF(5&lt;=DATEDIF('Навигатор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накоплений'!F28,1,0),AP10,""))</f>
        <v/>
      </c>
      <c r="AP11" t="str">
        <f>IF(AO11="","",MIN(EDATE('Навигатор накоплений'!E28,5),'Навигатор накоплений'!F28))</f>
        <v/>
      </c>
      <c r="AQ11" t="str">
        <f>IF(AO11="","",ROUND(AR10*'Навигатор накоплений'!D28*IF(YEAR(AO11)=YEAR(AP11-1),(AP11-AO11)/(DATE(YEAR(AO11),12,31)-DATE(YEAR(AO11),1,1)+1),(DATE(YEAR(AO11)+1,1,1)-AO11)/(DATE(YEAR(AO11),12,31)-DATE(YEAR(AO11),1,1)+1)+(AP11-DATE(YEAR(AP11),1,1))/(DATE(YEAR(AP11),12,31)-DATE(YEAR(AP11),1,1)+1)),2))</f>
        <v/>
      </c>
      <c r="AR11" t="str">
        <f>IF(AO11="","",ROUND(AR10+AQ11+IF(AP11&lt;'Навигатор накоплений'!F28,N('Навигатор накоплений'!G28),0),2))</f>
        <v/>
      </c>
      <c r="AT11">
        <f t="shared" si="0"/>
        <v>0</v>
      </c>
      <c r="AU11">
        <f t="shared" si="1"/>
        <v>0</v>
      </c>
      <c r="AV11">
        <f t="shared" si="2"/>
        <v>0</v>
      </c>
      <c r="AW11">
        <f t="shared" si="3"/>
        <v>0</v>
      </c>
      <c r="AX11">
        <f t="shared" si="4"/>
        <v>0</v>
      </c>
      <c r="AY11">
        <f t="shared" si="5"/>
        <v>0</v>
      </c>
      <c r="AZ11">
        <f t="shared" si="6"/>
        <v>0</v>
      </c>
      <c r="BA11">
        <f t="shared" si="7"/>
        <v>0</v>
      </c>
      <c r="BB11">
        <f t="shared" si="8"/>
        <v>0</v>
      </c>
      <c r="BC11">
        <f t="shared" si="9"/>
        <v>0</v>
      </c>
      <c r="BD11">
        <f t="shared" si="10"/>
        <v>0</v>
      </c>
      <c r="BE11">
        <f t="shared" si="11"/>
        <v>0</v>
      </c>
      <c r="BF11">
        <f t="shared" si="12"/>
        <v>0</v>
      </c>
      <c r="BG11"/>
    </row>
    <row r="12" spans="1:59" ht="15" x14ac:dyDescent="0.2">
      <c r="A12" s="43">
        <v>3</v>
      </c>
      <c r="B12" s="45" t="str">
        <f>IF('Навигатор накоплений'!A31="","",EDATE('Навигатор накоплений'!C31,A12-1))</f>
        <v/>
      </c>
      <c r="C12" s="45" t="str">
        <f>IF(B12="","",EDATE('Навигатор накоплений'!C31,A12))</f>
        <v/>
      </c>
      <c r="D12" s="46" t="str">
        <f t="shared" si="15"/>
        <v/>
      </c>
      <c r="E12" s="46" t="str">
        <f>IF(B12="","",N('Навигатор накоплений'!G31))</f>
        <v/>
      </c>
      <c r="F12" s="46" t="str">
        <f>IF(B12="","",IF('Навигатор накоплений'!F31="Ежедневный остаток",D12+E12,D12))</f>
        <v/>
      </c>
      <c r="G12" s="48" t="str">
        <f t="shared" si="13"/>
        <v/>
      </c>
      <c r="H12" s="46" t="str">
        <f>IF(B12="","",ROUND(F12*'Навигатор накоплений'!E31*IF(YEAR(B12)=YEAR(C12-1),(C12-B12)/(DATE(YEAR(B12),12,31)-DATE(YEAR(B12),1,1)+1),(DATE(YEAR(B12)+1,1,1)-B12)/(DATE(YEAR(B12),12,31)-DATE(YEAR(B12),1,1)+1)+(C12-DATE(YEAR(C12),1,1))/(DATE(YEAR(C12),12,31)-DATE(YEAR(C12),1,1)+1)),2))</f>
        <v/>
      </c>
      <c r="I12" s="46" t="str">
        <f t="shared" si="14"/>
        <v/>
      </c>
      <c r="K12" s="45" t="str">
        <f>IF('Навигатор накоплений'!A22="","",IF(6&lt;=DATEDIF('Навигатор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накоплений'!F22,1,0),L11,""))</f>
        <v/>
      </c>
      <c r="L12" s="45" t="str">
        <f>IF(K12="","",MIN(EDATE('Навигатор накоплений'!E22,6),'Навигатор накоплений'!F22))</f>
        <v/>
      </c>
      <c r="M12" s="46" t="str">
        <f>IF(K12="","",ROUND(N11*'Навигатор накоплений'!D22*IF(YEAR(K12)=YEAR(L12-1),(L12-K12)/(DATE(YEAR(K12),12,31)-DATE(YEAR(K12),1,1)+1),(DATE(YEAR(K12)+1,1,1)-K12)/(DATE(YEAR(K12),12,31)-DATE(YEAR(K12),1,1)+1)+(L12-DATE(YEAR(L12),1,1))/(DATE(YEAR(L12),12,31)-DATE(YEAR(L12),1,1)+1)),2))</f>
        <v/>
      </c>
      <c r="N12" s="46" t="str">
        <f>IF(K12="","",ROUND(N11+M12+IF(L12&lt;'Навигатор накоплений'!F22,N('Навигатор накоплений'!G22),0),2))</f>
        <v/>
      </c>
      <c r="P12" s="45" t="str">
        <f>IF('Навигатор накоплений'!A23="","",IF(6&lt;=DATEDIF('Навигатор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накоплений'!F23,1,0),Q11,""))</f>
        <v/>
      </c>
      <c r="Q12" s="45" t="str">
        <f>IF(P12="","",MIN(EDATE('Навигатор накоплений'!E23,6),'Навигатор накоплений'!F23))</f>
        <v/>
      </c>
      <c r="R12" s="46" t="str">
        <f>IF(P12="","",ROUND(S11*'Навигатор накоплений'!D23*IF(YEAR(P12)=YEAR(Q12-1),(Q12-P12)/(DATE(YEAR(P12),12,31)-DATE(YEAR(P12),1,1)+1),(DATE(YEAR(P12)+1,1,1)-P12)/(DATE(YEAR(P12),12,31)-DATE(YEAR(P12),1,1)+1)+(Q12-DATE(YEAR(Q12),1,1))/(DATE(YEAR(Q12),12,31)-DATE(YEAR(Q12),1,1)+1)),2))</f>
        <v/>
      </c>
      <c r="S12" s="46" t="str">
        <f>IF(P12="","",ROUND(S11+R12+IF(Q12&lt;'Навигатор накоплений'!F23,N('Навигатор накоплений'!G23),0),2))</f>
        <v/>
      </c>
      <c r="U12" s="45" t="str">
        <f>IF('Навигатор накоплений'!A24="","",IF(6&lt;=DATEDIF('Навигатор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накоплений'!F24,1,0),V11,""))</f>
        <v/>
      </c>
      <c r="V12" s="45" t="str">
        <f>IF(U12="","",MIN(EDATE('Навигатор накоплений'!E24,6),'Навигатор накоплений'!F24))</f>
        <v/>
      </c>
      <c r="W12" s="46" t="str">
        <f>IF(U12="","",ROUND(X11*'Навигатор накоплений'!D24*IF(YEAR(U12)=YEAR(V12-1),(V12-U12)/(DATE(YEAR(U12),12,31)-DATE(YEAR(U12),1,1)+1),(DATE(YEAR(U12)+1,1,1)-U12)/(DATE(YEAR(U12),12,31)-DATE(YEAR(U12),1,1)+1)+(V12-DATE(YEAR(V12),1,1))/(DATE(YEAR(V12),12,31)-DATE(YEAR(V12),1,1)+1)),2))</f>
        <v/>
      </c>
      <c r="X12" s="46" t="str">
        <f>IF(U12="","",ROUND(X11+W12+IF(V12&lt;'Навигатор накоплений'!F24,N('Навигатор накоплений'!G24),0),2))</f>
        <v/>
      </c>
      <c r="Z12" s="45" t="str">
        <f>IF('Навигатор накоплений'!A25="","",IF(6&lt;=DATEDIF('Навигатор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накоплений'!F25,1,0),AA11,""))</f>
        <v/>
      </c>
      <c r="AA12" s="45" t="str">
        <f>IF(Z12="","",MIN(EDATE('Навигатор накоплений'!E25,6),'Навигатор накоплений'!F25))</f>
        <v/>
      </c>
      <c r="AB12" s="46" t="str">
        <f>IF(Z12="","",ROUND(AC11*'Навигатор накоплений'!D25*IF(YEAR(Z12)=YEAR(AA12-1),(AA12-Z12)/(DATE(YEAR(Z12),12,31)-DATE(YEAR(Z12),1,1)+1),(DATE(YEAR(Z12)+1,1,1)-Z12)/(DATE(YEAR(Z12),12,31)-DATE(YEAR(Z12),1,1)+1)+(AA12-DATE(YEAR(AA12),1,1))/(DATE(YEAR(AA12),12,31)-DATE(YEAR(AA12),1,1)+1)),2))</f>
        <v/>
      </c>
      <c r="AC12" s="46" t="str">
        <f>IF(Z12="","",ROUND(AC11+AB12+IF(AA12&lt;'Навигатор накоплений'!F25,N('Навигатор накоплений'!G25),0),2))</f>
        <v/>
      </c>
      <c r="AE12" t="str">
        <f>IF('Навигатор накоплений'!A26="","",IF(6&lt;=DATEDIF('Навигатор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накоплений'!F26,1,0),AF11,""))</f>
        <v/>
      </c>
      <c r="AF12" t="str">
        <f>IF(AE12="","",MIN(EDATE('Навигатор накоплений'!E26,6),'Навигатор накоплений'!F26))</f>
        <v/>
      </c>
      <c r="AG12" t="str">
        <f>IF(AE12="","",ROUND(AH11*'Навигатор накоплений'!D26*IF(YEAR(AE12)=YEAR(AF12-1),(AF12-AE12)/(DATE(YEAR(AE12),12,31)-DATE(YEAR(AE12),1,1)+1),(DATE(YEAR(AE12)+1,1,1)-AE12)/(DATE(YEAR(AE12),12,31)-DATE(YEAR(AE12),1,1)+1)+(AF12-DATE(YEAR(AF12),1,1))/(DATE(YEAR(AF12),12,31)-DATE(YEAR(AF12),1,1)+1)),2))</f>
        <v/>
      </c>
      <c r="AH12" t="str">
        <f>IF(AE12="","",ROUND(AH11+AG12+IF(AF12&lt;'Навигатор накоплений'!F26,N('Навигатор накоплений'!G26),0),2))</f>
        <v/>
      </c>
      <c r="AJ12" t="str">
        <f>IF('Навигатор накоплений'!A27="","",IF(6&lt;=DATEDIF('Навигатор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накоплений'!F27,1,0),AK11,""))</f>
        <v/>
      </c>
      <c r="AK12" t="str">
        <f>IF(AJ12="","",MIN(EDATE('Навигатор накоплений'!E27,6),'Навигатор накоплений'!F27))</f>
        <v/>
      </c>
      <c r="AL12" t="str">
        <f>IF(AJ12="","",ROUND(AM11*'Навигатор накоплений'!D27*IF(YEAR(AJ12)=YEAR(AK12-1),(AK12-AJ12)/(DATE(YEAR(AJ12),12,31)-DATE(YEAR(AJ12),1,1)+1),(DATE(YEAR(AJ12)+1,1,1)-AJ12)/(DATE(YEAR(AJ12),12,31)-DATE(YEAR(AJ12),1,1)+1)+(AK12-DATE(YEAR(AK12),1,1))/(DATE(YEAR(AK12),12,31)-DATE(YEAR(AK12),1,1)+1)),2))</f>
        <v/>
      </c>
      <c r="AM12" t="str">
        <f>IF(AJ12="","",ROUND(AM11+AL12+IF(AK12&lt;'Навигатор накоплений'!F27,N('Навигатор накоплений'!G27),0),2))</f>
        <v/>
      </c>
      <c r="AO12" t="str">
        <f>IF('Навигатор накоплений'!A28="","",IF(6&lt;=DATEDIF('Навигатор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накоплений'!F28,1,0),AP11,""))</f>
        <v/>
      </c>
      <c r="AP12" t="str">
        <f>IF(AO12="","",MIN(EDATE('Навигатор накоплений'!E28,6),'Навигатор накоплений'!F28))</f>
        <v/>
      </c>
      <c r="AQ12" t="str">
        <f>IF(AO12="","",ROUND(AR11*'Навигатор накоплений'!D28*IF(YEAR(AO12)=YEAR(AP12-1),(AP12-AO12)/(DATE(YEAR(AO12),12,31)-DATE(YEAR(AO12),1,1)+1),(DATE(YEAR(AO12)+1,1,1)-AO12)/(DATE(YEAR(AO12),12,31)-DATE(YEAR(AO12),1,1)+1)+(AP12-DATE(YEAR(AP12),1,1))/(DATE(YEAR(AP12),12,31)-DATE(YEAR(AP12),1,1)+1)),2))</f>
        <v/>
      </c>
      <c r="AR12" t="str">
        <f>IF(AO12="","",ROUND(AR11+AQ12+IF(AP12&lt;'Навигатор накоплений'!F28,N('Навигатор накоплений'!G28),0),2))</f>
        <v/>
      </c>
      <c r="AT12">
        <f t="shared" si="0"/>
        <v>0</v>
      </c>
      <c r="AU12">
        <f t="shared" si="1"/>
        <v>0</v>
      </c>
      <c r="AV12">
        <f t="shared" si="2"/>
        <v>0</v>
      </c>
      <c r="AW12">
        <f t="shared" si="3"/>
        <v>0</v>
      </c>
      <c r="AX12">
        <f t="shared" si="4"/>
        <v>0</v>
      </c>
      <c r="AY12">
        <f t="shared" si="5"/>
        <v>0</v>
      </c>
      <c r="AZ12">
        <f t="shared" si="6"/>
        <v>0</v>
      </c>
      <c r="BA12">
        <f t="shared" si="7"/>
        <v>0</v>
      </c>
      <c r="BB12">
        <f t="shared" si="8"/>
        <v>0</v>
      </c>
      <c r="BC12">
        <f t="shared" si="9"/>
        <v>0</v>
      </c>
      <c r="BD12">
        <f t="shared" si="10"/>
        <v>0</v>
      </c>
      <c r="BE12">
        <f t="shared" si="11"/>
        <v>0</v>
      </c>
      <c r="BF12">
        <f t="shared" si="12"/>
        <v>0</v>
      </c>
      <c r="BG12"/>
    </row>
    <row r="13" spans="1:59" ht="15" x14ac:dyDescent="0.2">
      <c r="A13" s="43">
        <v>4</v>
      </c>
      <c r="B13" s="45" t="str">
        <f>IF('Навигатор накоплений'!A31="","",EDATE('Навигатор накоплений'!C31,A13-1))</f>
        <v/>
      </c>
      <c r="C13" s="45" t="str">
        <f>IF(B13="","",EDATE('Навигатор накоплений'!C31,A13))</f>
        <v/>
      </c>
      <c r="D13" s="46" t="str">
        <f t="shared" si="15"/>
        <v/>
      </c>
      <c r="E13" s="46" t="str">
        <f>IF(B13="","",N('Навигатор накоплений'!G31))</f>
        <v/>
      </c>
      <c r="F13" s="46" t="str">
        <f>IF(B13="","",IF('Навигатор накоплений'!F31="Ежедневный остаток",D13+E13,D13))</f>
        <v/>
      </c>
      <c r="G13" s="48" t="str">
        <f t="shared" si="13"/>
        <v/>
      </c>
      <c r="H13" s="46" t="str">
        <f>IF(B13="","",ROUND(F13*'Навигатор накоплений'!E31*IF(YEAR(B13)=YEAR(C13-1),(C13-B13)/(DATE(YEAR(B13),12,31)-DATE(YEAR(B13),1,1)+1),(DATE(YEAR(B13)+1,1,1)-B13)/(DATE(YEAR(B13),12,31)-DATE(YEAR(B13),1,1)+1)+(C13-DATE(YEAR(C13),1,1))/(DATE(YEAR(C13),12,31)-DATE(YEAR(C13),1,1)+1)),2))</f>
        <v/>
      </c>
      <c r="I13" s="46" t="str">
        <f t="shared" si="14"/>
        <v/>
      </c>
      <c r="K13" s="45" t="str">
        <f>IF('Навигатор накоплений'!A22="","",IF(7&lt;=DATEDIF('Навигатор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накоплений'!F22,1,0),L12,""))</f>
        <v/>
      </c>
      <c r="L13" s="45" t="str">
        <f>IF(K13="","",MIN(EDATE('Навигатор накоплений'!E22,7),'Навигатор накоплений'!F22))</f>
        <v/>
      </c>
      <c r="M13" s="46" t="str">
        <f>IF(K13="","",ROUND(N12*'Навигатор накоплений'!D22*IF(YEAR(K13)=YEAR(L13-1),(L13-K13)/(DATE(YEAR(K13),12,31)-DATE(YEAR(K13),1,1)+1),(DATE(YEAR(K13)+1,1,1)-K13)/(DATE(YEAR(K13),12,31)-DATE(YEAR(K13),1,1)+1)+(L13-DATE(YEAR(L13),1,1))/(DATE(YEAR(L13),12,31)-DATE(YEAR(L13),1,1)+1)),2))</f>
        <v/>
      </c>
      <c r="N13" s="46" t="str">
        <f>IF(K13="","",ROUND(N12+M13+IF(L13&lt;'Навигатор накоплений'!F22,N('Навигатор накоплений'!G22),0),2))</f>
        <v/>
      </c>
      <c r="P13" s="45" t="str">
        <f>IF('Навигатор накоплений'!A23="","",IF(7&lt;=DATEDIF('Навигатор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накоплений'!F23,1,0),Q12,""))</f>
        <v/>
      </c>
      <c r="Q13" s="45" t="str">
        <f>IF(P13="","",MIN(EDATE('Навигатор накоплений'!E23,7),'Навигатор накоплений'!F23))</f>
        <v/>
      </c>
      <c r="R13" s="46" t="str">
        <f>IF(P13="","",ROUND(S12*'Навигатор накоплений'!D23*IF(YEAR(P13)=YEAR(Q13-1),(Q13-P13)/(DATE(YEAR(P13),12,31)-DATE(YEAR(P13),1,1)+1),(DATE(YEAR(P13)+1,1,1)-P13)/(DATE(YEAR(P13),12,31)-DATE(YEAR(P13),1,1)+1)+(Q13-DATE(YEAR(Q13),1,1))/(DATE(YEAR(Q13),12,31)-DATE(YEAR(Q13),1,1)+1)),2))</f>
        <v/>
      </c>
      <c r="S13" s="46" t="str">
        <f>IF(P13="","",ROUND(S12+R13+IF(Q13&lt;'Навигатор накоплений'!F23,N('Навигатор накоплений'!G23),0),2))</f>
        <v/>
      </c>
      <c r="U13" s="45" t="str">
        <f>IF('Навигатор накоплений'!A24="","",IF(7&lt;=DATEDIF('Навигатор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накоплений'!F24,1,0),V12,""))</f>
        <v/>
      </c>
      <c r="V13" s="45" t="str">
        <f>IF(U13="","",MIN(EDATE('Навигатор накоплений'!E24,7),'Навигатор накоплений'!F24))</f>
        <v/>
      </c>
      <c r="W13" s="46" t="str">
        <f>IF(U13="","",ROUND(X12*'Навигатор накоплений'!D24*IF(YEAR(U13)=YEAR(V13-1),(V13-U13)/(DATE(YEAR(U13),12,31)-DATE(YEAR(U13),1,1)+1),(DATE(YEAR(U13)+1,1,1)-U13)/(DATE(YEAR(U13),12,31)-DATE(YEAR(U13),1,1)+1)+(V13-DATE(YEAR(V13),1,1))/(DATE(YEAR(V13),12,31)-DATE(YEAR(V13),1,1)+1)),2))</f>
        <v/>
      </c>
      <c r="X13" s="46" t="str">
        <f>IF(U13="","",ROUND(X12+W13+IF(V13&lt;'Навигатор накоплений'!F24,N('Навигатор накоплений'!G24),0),2))</f>
        <v/>
      </c>
      <c r="Z13" s="45" t="str">
        <f>IF('Навигатор накоплений'!A25="","",IF(7&lt;=DATEDIF('Навигатор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накоплений'!F25,1,0),AA12,""))</f>
        <v/>
      </c>
      <c r="AA13" s="45" t="str">
        <f>IF(Z13="","",MIN(EDATE('Навигатор накоплений'!E25,7),'Навигатор накоплений'!F25))</f>
        <v/>
      </c>
      <c r="AB13" s="46" t="str">
        <f>IF(Z13="","",ROUND(AC12*'Навигатор накоплений'!D25*IF(YEAR(Z13)=YEAR(AA13-1),(AA13-Z13)/(DATE(YEAR(Z13),12,31)-DATE(YEAR(Z13),1,1)+1),(DATE(YEAR(Z13)+1,1,1)-Z13)/(DATE(YEAR(Z13),12,31)-DATE(YEAR(Z13),1,1)+1)+(AA13-DATE(YEAR(AA13),1,1))/(DATE(YEAR(AA13),12,31)-DATE(YEAR(AA13),1,1)+1)),2))</f>
        <v/>
      </c>
      <c r="AC13" s="46" t="str">
        <f>IF(Z13="","",ROUND(AC12+AB13+IF(AA13&lt;'Навигатор накоплений'!F25,N('Навигатор накоплений'!G25),0),2))</f>
        <v/>
      </c>
      <c r="AE13" t="str">
        <f>IF('Навигатор накоплений'!A26="","",IF(7&lt;=DATEDIF('Навигатор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накоплений'!F26,1,0),AF12,""))</f>
        <v/>
      </c>
      <c r="AF13" t="str">
        <f>IF(AE13="","",MIN(EDATE('Навигатор накоплений'!E26,7),'Навигатор накоплений'!F26))</f>
        <v/>
      </c>
      <c r="AG13" t="str">
        <f>IF(AE13="","",ROUND(AH12*'Навигатор накоплений'!D26*IF(YEAR(AE13)=YEAR(AF13-1),(AF13-AE13)/(DATE(YEAR(AE13),12,31)-DATE(YEAR(AE13),1,1)+1),(DATE(YEAR(AE13)+1,1,1)-AE13)/(DATE(YEAR(AE13),12,31)-DATE(YEAR(AE13),1,1)+1)+(AF13-DATE(YEAR(AF13),1,1))/(DATE(YEAR(AF13),12,31)-DATE(YEAR(AF13),1,1)+1)),2))</f>
        <v/>
      </c>
      <c r="AH13" t="str">
        <f>IF(AE13="","",ROUND(AH12+AG13+IF(AF13&lt;'Навигатор накоплений'!F26,N('Навигатор накоплений'!G26),0),2))</f>
        <v/>
      </c>
      <c r="AJ13" t="str">
        <f>IF('Навигатор накоплений'!A27="","",IF(7&lt;=DATEDIF('Навигатор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накоплений'!F27,1,0),AK12,""))</f>
        <v/>
      </c>
      <c r="AK13" t="str">
        <f>IF(AJ13="","",MIN(EDATE('Навигатор накоплений'!E27,7),'Навигатор накоплений'!F27))</f>
        <v/>
      </c>
      <c r="AL13" t="str">
        <f>IF(AJ13="","",ROUND(AM12*'Навигатор накоплений'!D27*IF(YEAR(AJ13)=YEAR(AK13-1),(AK13-AJ13)/(DATE(YEAR(AJ13),12,31)-DATE(YEAR(AJ13),1,1)+1),(DATE(YEAR(AJ13)+1,1,1)-AJ13)/(DATE(YEAR(AJ13),12,31)-DATE(YEAR(AJ13),1,1)+1)+(AK13-DATE(YEAR(AK13),1,1))/(DATE(YEAR(AK13),12,31)-DATE(YEAR(AK13),1,1)+1)),2))</f>
        <v/>
      </c>
      <c r="AM13" t="str">
        <f>IF(AJ13="","",ROUND(AM12+AL13+IF(AK13&lt;'Навигатор накоплений'!F27,N('Навигатор накоплений'!G27),0),2))</f>
        <v/>
      </c>
      <c r="AO13" t="str">
        <f>IF('Навигатор накоплений'!A28="","",IF(7&lt;=DATEDIF('Навигатор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накоплений'!F28,1,0),AP12,""))</f>
        <v/>
      </c>
      <c r="AP13" t="str">
        <f>IF(AO13="","",MIN(EDATE('Навигатор накоплений'!E28,7),'Навигатор накоплений'!F28))</f>
        <v/>
      </c>
      <c r="AQ13" t="str">
        <f>IF(AO13="","",ROUND(AR12*'Навигатор накоплений'!D28*IF(YEAR(AO13)=YEAR(AP13-1),(AP13-AO13)/(DATE(YEAR(AO13),12,31)-DATE(YEAR(AO13),1,1)+1),(DATE(YEAR(AO13)+1,1,1)-AO13)/(DATE(YEAR(AO13),12,31)-DATE(YEAR(AO13),1,1)+1)+(AP13-DATE(YEAR(AP13),1,1))/(DATE(YEAR(AP13),12,31)-DATE(YEAR(AP13),1,1)+1)),2))</f>
        <v/>
      </c>
      <c r="AR13" t="str">
        <f>IF(AO13="","",ROUND(AR12+AQ13+IF(AP13&lt;'Навигатор накоплений'!F28,N('Навигатор накоплений'!G28),0),2))</f>
        <v/>
      </c>
      <c r="AT13">
        <f t="shared" si="0"/>
        <v>0</v>
      </c>
      <c r="AU13">
        <f t="shared" si="1"/>
        <v>0</v>
      </c>
      <c r="AV13">
        <f t="shared" si="2"/>
        <v>0</v>
      </c>
      <c r="AW13">
        <f t="shared" si="3"/>
        <v>0</v>
      </c>
      <c r="AX13">
        <f t="shared" si="4"/>
        <v>0</v>
      </c>
      <c r="AY13">
        <f t="shared" si="5"/>
        <v>0</v>
      </c>
      <c r="AZ13">
        <f t="shared" si="6"/>
        <v>0</v>
      </c>
      <c r="BA13">
        <f t="shared" si="7"/>
        <v>0</v>
      </c>
      <c r="BB13">
        <f t="shared" si="8"/>
        <v>0</v>
      </c>
      <c r="BC13">
        <f t="shared" si="9"/>
        <v>0</v>
      </c>
      <c r="BD13">
        <f t="shared" si="10"/>
        <v>0</v>
      </c>
      <c r="BE13">
        <f t="shared" si="11"/>
        <v>0</v>
      </c>
      <c r="BF13">
        <f t="shared" si="12"/>
        <v>0</v>
      </c>
      <c r="BG13"/>
    </row>
    <row r="14" spans="1:59" ht="15" x14ac:dyDescent="0.2">
      <c r="A14" s="43">
        <v>5</v>
      </c>
      <c r="B14" s="45" t="str">
        <f>IF('Навигатор накоплений'!A31="","",EDATE('Навигатор накоплений'!C31,A14-1))</f>
        <v/>
      </c>
      <c r="C14" s="45" t="str">
        <f>IF(B14="","",EDATE('Навигатор накоплений'!C31,A14))</f>
        <v/>
      </c>
      <c r="D14" s="46" t="str">
        <f t="shared" si="15"/>
        <v/>
      </c>
      <c r="E14" s="46" t="str">
        <f>IF(B14="","",N('Навигатор накоплений'!G31))</f>
        <v/>
      </c>
      <c r="F14" s="46" t="str">
        <f>IF(B14="","",IF('Навигатор накоплений'!F31="Ежедневный остаток",D14+E14,D14))</f>
        <v/>
      </c>
      <c r="G14" s="48" t="str">
        <f t="shared" si="13"/>
        <v/>
      </c>
      <c r="H14" s="46" t="str">
        <f>IF(B14="","",ROUND(F14*'Навигатор накоплений'!E31*IF(YEAR(B14)=YEAR(C14-1),(C14-B14)/(DATE(YEAR(B14),12,31)-DATE(YEAR(B14),1,1)+1),(DATE(YEAR(B14)+1,1,1)-B14)/(DATE(YEAR(B14),12,31)-DATE(YEAR(B14),1,1)+1)+(C14-DATE(YEAR(C14),1,1))/(DATE(YEAR(C14),12,31)-DATE(YEAR(C14),1,1)+1)),2))</f>
        <v/>
      </c>
      <c r="I14" s="46" t="str">
        <f t="shared" si="14"/>
        <v/>
      </c>
      <c r="K14" s="45" t="str">
        <f>IF('Навигатор накоплений'!A22="","",IF(8&lt;=DATEDIF('Навигатор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накоплений'!F22,1,0),L13,""))</f>
        <v/>
      </c>
      <c r="L14" s="45" t="str">
        <f>IF(K14="","",MIN(EDATE('Навигатор накоплений'!E22,8),'Навигатор накоплений'!F22))</f>
        <v/>
      </c>
      <c r="M14" s="46" t="str">
        <f>IF(K14="","",ROUND(N13*'Навигатор накоплений'!D22*IF(YEAR(K14)=YEAR(L14-1),(L14-K14)/(DATE(YEAR(K14),12,31)-DATE(YEAR(K14),1,1)+1),(DATE(YEAR(K14)+1,1,1)-K14)/(DATE(YEAR(K14),12,31)-DATE(YEAR(K14),1,1)+1)+(L14-DATE(YEAR(L14),1,1))/(DATE(YEAR(L14),12,31)-DATE(YEAR(L14),1,1)+1)),2))</f>
        <v/>
      </c>
      <c r="N14" s="46" t="str">
        <f>IF(K14="","",ROUND(N13+M14+IF(L14&lt;'Навигатор накоплений'!F22,N('Навигатор накоплений'!G22),0),2))</f>
        <v/>
      </c>
      <c r="P14" s="45" t="str">
        <f>IF('Навигатор накоплений'!A23="","",IF(8&lt;=DATEDIF('Навигатор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накоплений'!F23,1,0),Q13,""))</f>
        <v/>
      </c>
      <c r="Q14" s="45" t="str">
        <f>IF(P14="","",MIN(EDATE('Навигатор накоплений'!E23,8),'Навигатор накоплений'!F23))</f>
        <v/>
      </c>
      <c r="R14" s="46" t="str">
        <f>IF(P14="","",ROUND(S13*'Навигатор накоплений'!D23*IF(YEAR(P14)=YEAR(Q14-1),(Q14-P14)/(DATE(YEAR(P14),12,31)-DATE(YEAR(P14),1,1)+1),(DATE(YEAR(P14)+1,1,1)-P14)/(DATE(YEAR(P14),12,31)-DATE(YEAR(P14),1,1)+1)+(Q14-DATE(YEAR(Q14),1,1))/(DATE(YEAR(Q14),12,31)-DATE(YEAR(Q14),1,1)+1)),2))</f>
        <v/>
      </c>
      <c r="S14" s="46" t="str">
        <f>IF(P14="","",ROUND(S13+R14+IF(Q14&lt;'Навигатор накоплений'!F23,N('Навигатор накоплений'!G23),0),2))</f>
        <v/>
      </c>
      <c r="U14" s="45" t="str">
        <f>IF('Навигатор накоплений'!A24="","",IF(8&lt;=DATEDIF('Навигатор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накоплений'!F24,1,0),V13,""))</f>
        <v/>
      </c>
      <c r="V14" s="45" t="str">
        <f>IF(U14="","",MIN(EDATE('Навигатор накоплений'!E24,8),'Навигатор накоплений'!F24))</f>
        <v/>
      </c>
      <c r="W14" s="46" t="str">
        <f>IF(U14="","",ROUND(X13*'Навигатор накоплений'!D24*IF(YEAR(U14)=YEAR(V14-1),(V14-U14)/(DATE(YEAR(U14),12,31)-DATE(YEAR(U14),1,1)+1),(DATE(YEAR(U14)+1,1,1)-U14)/(DATE(YEAR(U14),12,31)-DATE(YEAR(U14),1,1)+1)+(V14-DATE(YEAR(V14),1,1))/(DATE(YEAR(V14),12,31)-DATE(YEAR(V14),1,1)+1)),2))</f>
        <v/>
      </c>
      <c r="X14" s="46" t="str">
        <f>IF(U14="","",ROUND(X13+W14+IF(V14&lt;'Навигатор накоплений'!F24,N('Навигатор накоплений'!G24),0),2))</f>
        <v/>
      </c>
      <c r="Z14" s="45" t="str">
        <f>IF('Навигатор накоплений'!A25="","",IF(8&lt;=DATEDIF('Навигатор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накоплений'!F25,1,0),AA13,""))</f>
        <v/>
      </c>
      <c r="AA14" s="45" t="str">
        <f>IF(Z14="","",MIN(EDATE('Навигатор накоплений'!E25,8),'Навигатор накоплений'!F25))</f>
        <v/>
      </c>
      <c r="AB14" s="46" t="str">
        <f>IF(Z14="","",ROUND(AC13*'Навигатор накоплений'!D25*IF(YEAR(Z14)=YEAR(AA14-1),(AA14-Z14)/(DATE(YEAR(Z14),12,31)-DATE(YEAR(Z14),1,1)+1),(DATE(YEAR(Z14)+1,1,1)-Z14)/(DATE(YEAR(Z14),12,31)-DATE(YEAR(Z14),1,1)+1)+(AA14-DATE(YEAR(AA14),1,1))/(DATE(YEAR(AA14),12,31)-DATE(YEAR(AA14),1,1)+1)),2))</f>
        <v/>
      </c>
      <c r="AC14" s="46" t="str">
        <f>IF(Z14="","",ROUND(AC13+AB14+IF(AA14&lt;'Навигатор накоплений'!F25,N('Навигатор накоплений'!G25),0),2))</f>
        <v/>
      </c>
      <c r="AE14" t="str">
        <f>IF('Навигатор накоплений'!A26="","",IF(8&lt;=DATEDIF('Навигатор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накоплений'!F26,1,0),AF13,""))</f>
        <v/>
      </c>
      <c r="AF14" t="str">
        <f>IF(AE14="","",MIN(EDATE('Навигатор накоплений'!E26,8),'Навигатор накоплений'!F26))</f>
        <v/>
      </c>
      <c r="AG14" t="str">
        <f>IF(AE14="","",ROUND(AH13*'Навигатор накоплений'!D26*IF(YEAR(AE14)=YEAR(AF14-1),(AF14-AE14)/(DATE(YEAR(AE14),12,31)-DATE(YEAR(AE14),1,1)+1),(DATE(YEAR(AE14)+1,1,1)-AE14)/(DATE(YEAR(AE14),12,31)-DATE(YEAR(AE14),1,1)+1)+(AF14-DATE(YEAR(AF14),1,1))/(DATE(YEAR(AF14),12,31)-DATE(YEAR(AF14),1,1)+1)),2))</f>
        <v/>
      </c>
      <c r="AH14" t="str">
        <f>IF(AE14="","",ROUND(AH13+AG14+IF(AF14&lt;'Навигатор накоплений'!F26,N('Навигатор накоплений'!G26),0),2))</f>
        <v/>
      </c>
      <c r="AJ14" t="str">
        <f>IF('Навигатор накоплений'!A27="","",IF(8&lt;=DATEDIF('Навигатор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накоплений'!F27,1,0),AK13,""))</f>
        <v/>
      </c>
      <c r="AK14" t="str">
        <f>IF(AJ14="","",MIN(EDATE('Навигатор накоплений'!E27,8),'Навигатор накоплений'!F27))</f>
        <v/>
      </c>
      <c r="AL14" t="str">
        <f>IF(AJ14="","",ROUND(AM13*'Навигатор накоплений'!D27*IF(YEAR(AJ14)=YEAR(AK14-1),(AK14-AJ14)/(DATE(YEAR(AJ14),12,31)-DATE(YEAR(AJ14),1,1)+1),(DATE(YEAR(AJ14)+1,1,1)-AJ14)/(DATE(YEAR(AJ14),12,31)-DATE(YEAR(AJ14),1,1)+1)+(AK14-DATE(YEAR(AK14),1,1))/(DATE(YEAR(AK14),12,31)-DATE(YEAR(AK14),1,1)+1)),2))</f>
        <v/>
      </c>
      <c r="AM14" t="str">
        <f>IF(AJ14="","",ROUND(AM13+AL14+IF(AK14&lt;'Навигатор накоплений'!F27,N('Навигатор накоплений'!G27),0),2))</f>
        <v/>
      </c>
      <c r="AO14" t="str">
        <f>IF('Навигатор накоплений'!A28="","",IF(8&lt;=DATEDIF('Навигатор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накоплений'!F28,1,0),AP13,""))</f>
        <v/>
      </c>
      <c r="AP14" t="str">
        <f>IF(AO14="","",MIN(EDATE('Навигатор накоплений'!E28,8),'Навигатор накоплений'!F28))</f>
        <v/>
      </c>
      <c r="AQ14" t="str">
        <f>IF(AO14="","",ROUND(AR13*'Навигатор накоплений'!D28*IF(YEAR(AO14)=YEAR(AP14-1),(AP14-AO14)/(DATE(YEAR(AO14),12,31)-DATE(YEAR(AO14),1,1)+1),(DATE(YEAR(AO14)+1,1,1)-AO14)/(DATE(YEAR(AO14),12,31)-DATE(YEAR(AO14),1,1)+1)+(AP14-DATE(YEAR(AP14),1,1))/(DATE(YEAR(AP14),12,31)-DATE(YEAR(AP14),1,1)+1)),2))</f>
        <v/>
      </c>
      <c r="AR14" t="str">
        <f>IF(AO14="","",ROUND(AR13+AQ14+IF(AP14&lt;'Навигатор накоплений'!F28,N('Навигатор накоплений'!G28),0),2))</f>
        <v/>
      </c>
      <c r="AT14">
        <f t="shared" si="0"/>
        <v>0</v>
      </c>
      <c r="AU14">
        <f t="shared" si="1"/>
        <v>0</v>
      </c>
      <c r="AV14">
        <f t="shared" si="2"/>
        <v>0</v>
      </c>
      <c r="AW14">
        <f t="shared" si="3"/>
        <v>0</v>
      </c>
      <c r="AX14">
        <f t="shared" si="4"/>
        <v>0</v>
      </c>
      <c r="AY14">
        <f t="shared" si="5"/>
        <v>0</v>
      </c>
      <c r="AZ14">
        <f t="shared" si="6"/>
        <v>0</v>
      </c>
      <c r="BA14">
        <f t="shared" si="7"/>
        <v>0</v>
      </c>
      <c r="BB14">
        <f t="shared" si="8"/>
        <v>0</v>
      </c>
      <c r="BC14">
        <f t="shared" si="9"/>
        <v>0</v>
      </c>
      <c r="BD14">
        <f t="shared" si="10"/>
        <v>0</v>
      </c>
      <c r="BE14">
        <f t="shared" si="11"/>
        <v>0</v>
      </c>
      <c r="BF14">
        <f t="shared" si="12"/>
        <v>0</v>
      </c>
      <c r="BG14"/>
    </row>
    <row r="15" spans="1:59" ht="15" x14ac:dyDescent="0.2">
      <c r="A15" s="43">
        <v>6</v>
      </c>
      <c r="B15" s="45" t="str">
        <f>IF('Навигатор накоплений'!A31="","",EDATE('Навигатор накоплений'!C31,A15-1))</f>
        <v/>
      </c>
      <c r="C15" s="45" t="str">
        <f>IF(B15="","",EDATE('Навигатор накоплений'!C31,A15))</f>
        <v/>
      </c>
      <c r="D15" s="46" t="str">
        <f t="shared" si="15"/>
        <v/>
      </c>
      <c r="E15" s="46" t="str">
        <f>IF(B15="","",N('Навигатор накоплений'!G31))</f>
        <v/>
      </c>
      <c r="F15" s="46" t="str">
        <f>IF(B15="","",IF('Навигатор накоплений'!F31="Ежедневный остаток",D15+E15,D15))</f>
        <v/>
      </c>
      <c r="G15" s="48" t="str">
        <f t="shared" si="13"/>
        <v/>
      </c>
      <c r="H15" s="46" t="str">
        <f>IF(B15="","",ROUND(F15*'Навигатор накоплений'!E31*IF(YEAR(B15)=YEAR(C15-1),(C15-B15)/(DATE(YEAR(B15),12,31)-DATE(YEAR(B15),1,1)+1),(DATE(YEAR(B15)+1,1,1)-B15)/(DATE(YEAR(B15),12,31)-DATE(YEAR(B15),1,1)+1)+(C15-DATE(YEAR(C15),1,1))/(DATE(YEAR(C15),12,31)-DATE(YEAR(C15),1,1)+1)),2))</f>
        <v/>
      </c>
      <c r="I15" s="46" t="str">
        <f t="shared" si="14"/>
        <v/>
      </c>
      <c r="K15" s="45" t="str">
        <f>IF('Навигатор накоплений'!A22="","",IF(9&lt;=DATEDIF('Навигатор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накоплений'!F22,1,0),L14,""))</f>
        <v/>
      </c>
      <c r="L15" s="45" t="str">
        <f>IF(K15="","",MIN(EDATE('Навигатор накоплений'!E22,9),'Навигатор накоплений'!F22))</f>
        <v/>
      </c>
      <c r="M15" s="46" t="str">
        <f>IF(K15="","",ROUND(N14*'Навигатор накоплений'!D22*IF(YEAR(K15)=YEAR(L15-1),(L15-K15)/(DATE(YEAR(K15),12,31)-DATE(YEAR(K15),1,1)+1),(DATE(YEAR(K15)+1,1,1)-K15)/(DATE(YEAR(K15),12,31)-DATE(YEAR(K15),1,1)+1)+(L15-DATE(YEAR(L15),1,1))/(DATE(YEAR(L15),12,31)-DATE(YEAR(L15),1,1)+1)),2))</f>
        <v/>
      </c>
      <c r="N15" s="46" t="str">
        <f>IF(K15="","",ROUND(N14+M15+IF(L15&lt;'Навигатор накоплений'!F22,N('Навигатор накоплений'!G22),0),2))</f>
        <v/>
      </c>
      <c r="P15" s="45" t="str">
        <f>IF('Навигатор накоплений'!A23="","",IF(9&lt;=DATEDIF('Навигатор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накоплений'!F23,1,0),Q14,""))</f>
        <v/>
      </c>
      <c r="Q15" s="45" t="str">
        <f>IF(P15="","",MIN(EDATE('Навигатор накоплений'!E23,9),'Навигатор накоплений'!F23))</f>
        <v/>
      </c>
      <c r="R15" s="46" t="str">
        <f>IF(P15="","",ROUND(S14*'Навигатор накоплений'!D23*IF(YEAR(P15)=YEAR(Q15-1),(Q15-P15)/(DATE(YEAR(P15),12,31)-DATE(YEAR(P15),1,1)+1),(DATE(YEAR(P15)+1,1,1)-P15)/(DATE(YEAR(P15),12,31)-DATE(YEAR(P15),1,1)+1)+(Q15-DATE(YEAR(Q15),1,1))/(DATE(YEAR(Q15),12,31)-DATE(YEAR(Q15),1,1)+1)),2))</f>
        <v/>
      </c>
      <c r="S15" s="46" t="str">
        <f>IF(P15="","",ROUND(S14+R15+IF(Q15&lt;'Навигатор накоплений'!F23,N('Навигатор накоплений'!G23),0),2))</f>
        <v/>
      </c>
      <c r="U15" s="45" t="str">
        <f>IF('Навигатор накоплений'!A24="","",IF(9&lt;=DATEDIF('Навигатор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накоплений'!F24,1,0),V14,""))</f>
        <v/>
      </c>
      <c r="V15" s="45" t="str">
        <f>IF(U15="","",MIN(EDATE('Навигатор накоплений'!E24,9),'Навигатор накоплений'!F24))</f>
        <v/>
      </c>
      <c r="W15" s="46" t="str">
        <f>IF(U15="","",ROUND(X14*'Навигатор накоплений'!D24*IF(YEAR(U15)=YEAR(V15-1),(V15-U15)/(DATE(YEAR(U15),12,31)-DATE(YEAR(U15),1,1)+1),(DATE(YEAR(U15)+1,1,1)-U15)/(DATE(YEAR(U15),12,31)-DATE(YEAR(U15),1,1)+1)+(V15-DATE(YEAR(V15),1,1))/(DATE(YEAR(V15),12,31)-DATE(YEAR(V15),1,1)+1)),2))</f>
        <v/>
      </c>
      <c r="X15" s="46" t="str">
        <f>IF(U15="","",ROUND(X14+W15+IF(V15&lt;'Навигатор накоплений'!F24,N('Навигатор накоплений'!G24),0),2))</f>
        <v/>
      </c>
      <c r="Z15" s="45" t="str">
        <f>IF('Навигатор накоплений'!A25="","",IF(9&lt;=DATEDIF('Навигатор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накоплений'!F25,1,0),AA14,""))</f>
        <v/>
      </c>
      <c r="AA15" s="45" t="str">
        <f>IF(Z15="","",MIN(EDATE('Навигатор накоплений'!E25,9),'Навигатор накоплений'!F25))</f>
        <v/>
      </c>
      <c r="AB15" s="46" t="str">
        <f>IF(Z15="","",ROUND(AC14*'Навигатор накоплений'!D25*IF(YEAR(Z15)=YEAR(AA15-1),(AA15-Z15)/(DATE(YEAR(Z15),12,31)-DATE(YEAR(Z15),1,1)+1),(DATE(YEAR(Z15)+1,1,1)-Z15)/(DATE(YEAR(Z15),12,31)-DATE(YEAR(Z15),1,1)+1)+(AA15-DATE(YEAR(AA15),1,1))/(DATE(YEAR(AA15),12,31)-DATE(YEAR(AA15),1,1)+1)),2))</f>
        <v/>
      </c>
      <c r="AC15" s="46" t="str">
        <f>IF(Z15="","",ROUND(AC14+AB15+IF(AA15&lt;'Навигатор накоплений'!F25,N('Навигатор накоплений'!G25),0),2))</f>
        <v/>
      </c>
      <c r="AE15" t="str">
        <f>IF('Навигатор накоплений'!A26="","",IF(9&lt;=DATEDIF('Навигатор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накоплений'!F26,1,0),AF14,""))</f>
        <v/>
      </c>
      <c r="AF15" t="str">
        <f>IF(AE15="","",MIN(EDATE('Навигатор накоплений'!E26,9),'Навигатор накоплений'!F26))</f>
        <v/>
      </c>
      <c r="AG15" t="str">
        <f>IF(AE15="","",ROUND(AH14*'Навигатор накоплений'!D26*IF(YEAR(AE15)=YEAR(AF15-1),(AF15-AE15)/(DATE(YEAR(AE15),12,31)-DATE(YEAR(AE15),1,1)+1),(DATE(YEAR(AE15)+1,1,1)-AE15)/(DATE(YEAR(AE15),12,31)-DATE(YEAR(AE15),1,1)+1)+(AF15-DATE(YEAR(AF15),1,1))/(DATE(YEAR(AF15),12,31)-DATE(YEAR(AF15),1,1)+1)),2))</f>
        <v/>
      </c>
      <c r="AH15" t="str">
        <f>IF(AE15="","",ROUND(AH14+AG15+IF(AF15&lt;'Навигатор накоплений'!F26,N('Навигатор накоплений'!G26),0),2))</f>
        <v/>
      </c>
      <c r="AJ15" t="str">
        <f>IF('Навигатор накоплений'!A27="","",IF(9&lt;=DATEDIF('Навигатор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накоплений'!F27,1,0),AK14,""))</f>
        <v/>
      </c>
      <c r="AK15" t="str">
        <f>IF(AJ15="","",MIN(EDATE('Навигатор накоплений'!E27,9),'Навигатор накоплений'!F27))</f>
        <v/>
      </c>
      <c r="AL15" t="str">
        <f>IF(AJ15="","",ROUND(AM14*'Навигатор накоплений'!D27*IF(YEAR(AJ15)=YEAR(AK15-1),(AK15-AJ15)/(DATE(YEAR(AJ15),12,31)-DATE(YEAR(AJ15),1,1)+1),(DATE(YEAR(AJ15)+1,1,1)-AJ15)/(DATE(YEAR(AJ15),12,31)-DATE(YEAR(AJ15),1,1)+1)+(AK15-DATE(YEAR(AK15),1,1))/(DATE(YEAR(AK15),12,31)-DATE(YEAR(AK15),1,1)+1)),2))</f>
        <v/>
      </c>
      <c r="AM15" t="str">
        <f>IF(AJ15="","",ROUND(AM14+AL15+IF(AK15&lt;'Навигатор накоплений'!F27,N('Навигатор накоплений'!G27),0),2))</f>
        <v/>
      </c>
      <c r="AO15" t="str">
        <f>IF('Навигатор накоплений'!A28="","",IF(9&lt;=DATEDIF('Навигатор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накоплений'!F28,1,0),AP14,""))</f>
        <v/>
      </c>
      <c r="AP15" t="str">
        <f>IF(AO15="","",MIN(EDATE('Навигатор накоплений'!E28,9),'Навигатор накоплений'!F28))</f>
        <v/>
      </c>
      <c r="AQ15" t="str">
        <f>IF(AO15="","",ROUND(AR14*'Навигатор накоплений'!D28*IF(YEAR(AO15)=YEAR(AP15-1),(AP15-AO15)/(DATE(YEAR(AO15),12,31)-DATE(YEAR(AO15),1,1)+1),(DATE(YEAR(AO15)+1,1,1)-AO15)/(DATE(YEAR(AO15),12,31)-DATE(YEAR(AO15),1,1)+1)+(AP15-DATE(YEAR(AP15),1,1))/(DATE(YEAR(AP15),12,31)-DATE(YEAR(AP15),1,1)+1)),2))</f>
        <v/>
      </c>
      <c r="AR15" t="str">
        <f>IF(AO15="","",ROUND(AR14+AQ15+IF(AP15&lt;'Навигатор накоплений'!F28,N('Навигатор накоплений'!G28),0),2))</f>
        <v/>
      </c>
      <c r="AT15">
        <f t="shared" si="0"/>
        <v>0</v>
      </c>
      <c r="AU15">
        <f t="shared" si="1"/>
        <v>0</v>
      </c>
      <c r="AV15">
        <f t="shared" si="2"/>
        <v>0</v>
      </c>
      <c r="AW15">
        <f t="shared" si="3"/>
        <v>0</v>
      </c>
      <c r="AX15">
        <f t="shared" si="4"/>
        <v>0</v>
      </c>
      <c r="AY15">
        <f t="shared" si="5"/>
        <v>0</v>
      </c>
      <c r="AZ15">
        <f t="shared" si="6"/>
        <v>0</v>
      </c>
      <c r="BA15">
        <f t="shared" si="7"/>
        <v>0</v>
      </c>
      <c r="BB15">
        <f t="shared" si="8"/>
        <v>0</v>
      </c>
      <c r="BC15">
        <f t="shared" si="9"/>
        <v>0</v>
      </c>
      <c r="BD15">
        <f t="shared" si="10"/>
        <v>0</v>
      </c>
      <c r="BE15">
        <f t="shared" si="11"/>
        <v>0</v>
      </c>
      <c r="BF15">
        <f t="shared" si="12"/>
        <v>0</v>
      </c>
      <c r="BG15"/>
    </row>
    <row r="16" spans="1:59" ht="15" x14ac:dyDescent="0.2">
      <c r="A16" s="43">
        <v>7</v>
      </c>
      <c r="B16" s="45" t="str">
        <f>IF('Навигатор накоплений'!A31="","",EDATE('Навигатор накоплений'!C31,A16-1))</f>
        <v/>
      </c>
      <c r="C16" s="45" t="str">
        <f>IF(B16="","",EDATE('Навигатор накоплений'!C31,A16))</f>
        <v/>
      </c>
      <c r="D16" s="46" t="str">
        <f t="shared" si="15"/>
        <v/>
      </c>
      <c r="E16" s="46" t="str">
        <f>IF(B16="","",N('Навигатор накоплений'!G31))</f>
        <v/>
      </c>
      <c r="F16" s="46" t="str">
        <f>IF(B16="","",IF('Навигатор накоплений'!F31="Ежедневный остаток",D16+E16,D16))</f>
        <v/>
      </c>
      <c r="G16" s="48" t="str">
        <f t="shared" si="13"/>
        <v/>
      </c>
      <c r="H16" s="46" t="str">
        <f>IF(B16="","",ROUND(F16*'Навигатор накоплений'!E31*IF(YEAR(B16)=YEAR(C16-1),(C16-B16)/(DATE(YEAR(B16),12,31)-DATE(YEAR(B16),1,1)+1),(DATE(YEAR(B16)+1,1,1)-B16)/(DATE(YEAR(B16),12,31)-DATE(YEAR(B16),1,1)+1)+(C16-DATE(YEAR(C16),1,1))/(DATE(YEAR(C16),12,31)-DATE(YEAR(C16),1,1)+1)),2))</f>
        <v/>
      </c>
      <c r="I16" s="46" t="str">
        <f t="shared" si="14"/>
        <v/>
      </c>
      <c r="K16" s="45" t="str">
        <f>IF('Навигатор накоплений'!A22="","",IF(10&lt;=DATEDIF('Навигатор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накоплений'!F22,1,0),L15,""))</f>
        <v/>
      </c>
      <c r="L16" s="45" t="str">
        <f>IF(K16="","",MIN(EDATE('Навигатор накоплений'!E22,10),'Навигатор накоплений'!F22))</f>
        <v/>
      </c>
      <c r="M16" s="46" t="str">
        <f>IF(K16="","",ROUND(N15*'Навигатор накоплений'!D22*IF(YEAR(K16)=YEAR(L16-1),(L16-K16)/(DATE(YEAR(K16),12,31)-DATE(YEAR(K16),1,1)+1),(DATE(YEAR(K16)+1,1,1)-K16)/(DATE(YEAR(K16),12,31)-DATE(YEAR(K16),1,1)+1)+(L16-DATE(YEAR(L16),1,1))/(DATE(YEAR(L16),12,31)-DATE(YEAR(L16),1,1)+1)),2))</f>
        <v/>
      </c>
      <c r="N16" s="46" t="str">
        <f>IF(K16="","",ROUND(N15+M16+IF(L16&lt;'Навигатор накоплений'!F22,N('Навигатор накоплений'!G22),0),2))</f>
        <v/>
      </c>
      <c r="P16" s="45" t="str">
        <f>IF('Навигатор накоплений'!A23="","",IF(10&lt;=DATEDIF('Навигатор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накоплений'!F23,1,0),Q15,""))</f>
        <v/>
      </c>
      <c r="Q16" s="45" t="str">
        <f>IF(P16="","",MIN(EDATE('Навигатор накоплений'!E23,10),'Навигатор накоплений'!F23))</f>
        <v/>
      </c>
      <c r="R16" s="46" t="str">
        <f>IF(P16="","",ROUND(S15*'Навигатор накоплений'!D23*IF(YEAR(P16)=YEAR(Q16-1),(Q16-P16)/(DATE(YEAR(P16),12,31)-DATE(YEAR(P16),1,1)+1),(DATE(YEAR(P16)+1,1,1)-P16)/(DATE(YEAR(P16),12,31)-DATE(YEAR(P16),1,1)+1)+(Q16-DATE(YEAR(Q16),1,1))/(DATE(YEAR(Q16),12,31)-DATE(YEAR(Q16),1,1)+1)),2))</f>
        <v/>
      </c>
      <c r="S16" s="46" t="str">
        <f>IF(P16="","",ROUND(S15+R16+IF(Q16&lt;'Навигатор накоплений'!F23,N('Навигатор накоплений'!G23),0),2))</f>
        <v/>
      </c>
      <c r="U16" s="45" t="str">
        <f>IF('Навигатор накоплений'!A24="","",IF(10&lt;=DATEDIF('Навигатор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накоплений'!F24,1,0),V15,""))</f>
        <v/>
      </c>
      <c r="V16" s="45" t="str">
        <f>IF(U16="","",MIN(EDATE('Навигатор накоплений'!E24,10),'Навигатор накоплений'!F24))</f>
        <v/>
      </c>
      <c r="W16" s="46" t="str">
        <f>IF(U16="","",ROUND(X15*'Навигатор накоплений'!D24*IF(YEAR(U16)=YEAR(V16-1),(V16-U16)/(DATE(YEAR(U16),12,31)-DATE(YEAR(U16),1,1)+1),(DATE(YEAR(U16)+1,1,1)-U16)/(DATE(YEAR(U16),12,31)-DATE(YEAR(U16),1,1)+1)+(V16-DATE(YEAR(V16),1,1))/(DATE(YEAR(V16),12,31)-DATE(YEAR(V16),1,1)+1)),2))</f>
        <v/>
      </c>
      <c r="X16" s="46" t="str">
        <f>IF(U16="","",ROUND(X15+W16+IF(V16&lt;'Навигатор накоплений'!F24,N('Навигатор накоплений'!G24),0),2))</f>
        <v/>
      </c>
      <c r="Z16" s="45" t="str">
        <f>IF('Навигатор накоплений'!A25="","",IF(10&lt;=DATEDIF('Навигатор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накоплений'!F25,1,0),AA15,""))</f>
        <v/>
      </c>
      <c r="AA16" s="45" t="str">
        <f>IF(Z16="","",MIN(EDATE('Навигатор накоплений'!E25,10),'Навигатор накоплений'!F25))</f>
        <v/>
      </c>
      <c r="AB16" s="46" t="str">
        <f>IF(Z16="","",ROUND(AC15*'Навигатор накоплений'!D25*IF(YEAR(Z16)=YEAR(AA16-1),(AA16-Z16)/(DATE(YEAR(Z16),12,31)-DATE(YEAR(Z16),1,1)+1),(DATE(YEAR(Z16)+1,1,1)-Z16)/(DATE(YEAR(Z16),12,31)-DATE(YEAR(Z16),1,1)+1)+(AA16-DATE(YEAR(AA16),1,1))/(DATE(YEAR(AA16),12,31)-DATE(YEAR(AA16),1,1)+1)),2))</f>
        <v/>
      </c>
      <c r="AC16" s="46" t="str">
        <f>IF(Z16="","",ROUND(AC15+AB16+IF(AA16&lt;'Навигатор накоплений'!F25,N('Навигатор накоплений'!G25),0),2))</f>
        <v/>
      </c>
      <c r="AE16" t="str">
        <f>IF('Навигатор накоплений'!A26="","",IF(10&lt;=DATEDIF('Навигатор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накоплений'!F26,1,0),AF15,""))</f>
        <v/>
      </c>
      <c r="AF16" t="str">
        <f>IF(AE16="","",MIN(EDATE('Навигатор накоплений'!E26,10),'Навигатор накоплений'!F26))</f>
        <v/>
      </c>
      <c r="AG16" t="str">
        <f>IF(AE16="","",ROUND(AH15*'Навигатор накоплений'!D26*IF(YEAR(AE16)=YEAR(AF16-1),(AF16-AE16)/(DATE(YEAR(AE16),12,31)-DATE(YEAR(AE16),1,1)+1),(DATE(YEAR(AE16)+1,1,1)-AE16)/(DATE(YEAR(AE16),12,31)-DATE(YEAR(AE16),1,1)+1)+(AF16-DATE(YEAR(AF16),1,1))/(DATE(YEAR(AF16),12,31)-DATE(YEAR(AF16),1,1)+1)),2))</f>
        <v/>
      </c>
      <c r="AH16" t="str">
        <f>IF(AE16="","",ROUND(AH15+AG16+IF(AF16&lt;'Навигатор накоплений'!F26,N('Навигатор накоплений'!G26),0),2))</f>
        <v/>
      </c>
      <c r="AJ16" t="str">
        <f>IF('Навигатор накоплений'!A27="","",IF(10&lt;=DATEDIF('Навигатор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накоплений'!F27,1,0),AK15,""))</f>
        <v/>
      </c>
      <c r="AK16" t="str">
        <f>IF(AJ16="","",MIN(EDATE('Навигатор накоплений'!E27,10),'Навигатор накоплений'!F27))</f>
        <v/>
      </c>
      <c r="AL16" t="str">
        <f>IF(AJ16="","",ROUND(AM15*'Навигатор накоплений'!D27*IF(YEAR(AJ16)=YEAR(AK16-1),(AK16-AJ16)/(DATE(YEAR(AJ16),12,31)-DATE(YEAR(AJ16),1,1)+1),(DATE(YEAR(AJ16)+1,1,1)-AJ16)/(DATE(YEAR(AJ16),12,31)-DATE(YEAR(AJ16),1,1)+1)+(AK16-DATE(YEAR(AK16),1,1))/(DATE(YEAR(AK16),12,31)-DATE(YEAR(AK16),1,1)+1)),2))</f>
        <v/>
      </c>
      <c r="AM16" t="str">
        <f>IF(AJ16="","",ROUND(AM15+AL16+IF(AK16&lt;'Навигатор накоплений'!F27,N('Навигатор накоплений'!G27),0),2))</f>
        <v/>
      </c>
      <c r="AO16" t="str">
        <f>IF('Навигатор накоплений'!A28="","",IF(10&lt;=DATEDIF('Навигатор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накоплений'!F28,1,0),AP15,""))</f>
        <v/>
      </c>
      <c r="AP16" t="str">
        <f>IF(AO16="","",MIN(EDATE('Навигатор накоплений'!E28,10),'Навигатор накоплений'!F28))</f>
        <v/>
      </c>
      <c r="AQ16" t="str">
        <f>IF(AO16="","",ROUND(AR15*'Навигатор накоплений'!D28*IF(YEAR(AO16)=YEAR(AP16-1),(AP16-AO16)/(DATE(YEAR(AO16),12,31)-DATE(YEAR(AO16),1,1)+1),(DATE(YEAR(AO16)+1,1,1)-AO16)/(DATE(YEAR(AO16),12,31)-DATE(YEAR(AO16),1,1)+1)+(AP16-DATE(YEAR(AP16),1,1))/(DATE(YEAR(AP16),12,31)-DATE(YEAR(AP16),1,1)+1)),2))</f>
        <v/>
      </c>
      <c r="AR16" t="str">
        <f>IF(AO16="","",ROUND(AR15+AQ16+IF(AP16&lt;'Навигатор накоплений'!F28,N('Навигатор накоплений'!G28),0),2))</f>
        <v/>
      </c>
      <c r="AT16">
        <f t="shared" si="0"/>
        <v>0</v>
      </c>
      <c r="AU16">
        <f t="shared" si="1"/>
        <v>0</v>
      </c>
      <c r="AV16">
        <f t="shared" si="2"/>
        <v>0</v>
      </c>
      <c r="AW16">
        <f t="shared" si="3"/>
        <v>0</v>
      </c>
      <c r="AX16">
        <f t="shared" si="4"/>
        <v>0</v>
      </c>
      <c r="AY16">
        <f t="shared" si="5"/>
        <v>0</v>
      </c>
      <c r="AZ16">
        <f t="shared" si="6"/>
        <v>0</v>
      </c>
      <c r="BA16">
        <f t="shared" si="7"/>
        <v>0</v>
      </c>
      <c r="BB16">
        <f t="shared" si="8"/>
        <v>0</v>
      </c>
      <c r="BC16">
        <f t="shared" si="9"/>
        <v>0</v>
      </c>
      <c r="BD16">
        <f t="shared" si="10"/>
        <v>0</v>
      </c>
      <c r="BE16">
        <f t="shared" si="11"/>
        <v>0</v>
      </c>
      <c r="BF16">
        <f t="shared" si="12"/>
        <v>0</v>
      </c>
      <c r="BG16"/>
    </row>
    <row r="17" spans="1:59" ht="15" x14ac:dyDescent="0.2">
      <c r="A17" s="43">
        <v>8</v>
      </c>
      <c r="B17" s="45" t="str">
        <f>IF('Навигатор накоплений'!A31="","",EDATE('Навигатор накоплений'!C31,A17-1))</f>
        <v/>
      </c>
      <c r="C17" s="45" t="str">
        <f>IF(B17="","",EDATE('Навигатор накоплений'!C31,A17))</f>
        <v/>
      </c>
      <c r="D17" s="46" t="str">
        <f t="shared" si="15"/>
        <v/>
      </c>
      <c r="E17" s="46" t="str">
        <f>IF(B17="","",N('Навигатор накоплений'!G31))</f>
        <v/>
      </c>
      <c r="F17" s="46" t="str">
        <f>IF(B17="","",IF('Навигатор накоплений'!F31="Ежедневный остаток",D17+E17,D17))</f>
        <v/>
      </c>
      <c r="G17" s="48" t="str">
        <f t="shared" si="13"/>
        <v/>
      </c>
      <c r="H17" s="46" t="str">
        <f>IF(B17="","",ROUND(F17*'Навигатор накоплений'!E31*IF(YEAR(B17)=YEAR(C17-1),(C17-B17)/(DATE(YEAR(B17),12,31)-DATE(YEAR(B17),1,1)+1),(DATE(YEAR(B17)+1,1,1)-B17)/(DATE(YEAR(B17),12,31)-DATE(YEAR(B17),1,1)+1)+(C17-DATE(YEAR(C17),1,1))/(DATE(YEAR(C17),12,31)-DATE(YEAR(C17),1,1)+1)),2))</f>
        <v/>
      </c>
      <c r="I17" s="46" t="str">
        <f t="shared" si="14"/>
        <v/>
      </c>
      <c r="K17" s="45" t="str">
        <f>IF('Навигатор накоплений'!A22="","",IF(11&lt;=DATEDIF('Навигатор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накоплений'!F22,1,0),L16,""))</f>
        <v/>
      </c>
      <c r="L17" s="45" t="str">
        <f>IF(K17="","",MIN(EDATE('Навигатор накоплений'!E22,11),'Навигатор накоплений'!F22))</f>
        <v/>
      </c>
      <c r="M17" s="46" t="str">
        <f>IF(K17="","",ROUND(N16*'Навигатор накоплений'!D22*IF(YEAR(K17)=YEAR(L17-1),(L17-K17)/(DATE(YEAR(K17),12,31)-DATE(YEAR(K17),1,1)+1),(DATE(YEAR(K17)+1,1,1)-K17)/(DATE(YEAR(K17),12,31)-DATE(YEAR(K17),1,1)+1)+(L17-DATE(YEAR(L17),1,1))/(DATE(YEAR(L17),12,31)-DATE(YEAR(L17),1,1)+1)),2))</f>
        <v/>
      </c>
      <c r="N17" s="46" t="str">
        <f>IF(K17="","",ROUND(N16+M17+IF(L17&lt;'Навигатор накоплений'!F22,N('Навигатор накоплений'!G22),0),2))</f>
        <v/>
      </c>
      <c r="P17" s="45" t="str">
        <f>IF('Навигатор накоплений'!A23="","",IF(11&lt;=DATEDIF('Навигатор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накоплений'!F23,1,0),Q16,""))</f>
        <v/>
      </c>
      <c r="Q17" s="45" t="str">
        <f>IF(P17="","",MIN(EDATE('Навигатор накоплений'!E23,11),'Навигатор накоплений'!F23))</f>
        <v/>
      </c>
      <c r="R17" s="46" t="str">
        <f>IF(P17="","",ROUND(S16*'Навигатор накоплений'!D23*IF(YEAR(P17)=YEAR(Q17-1),(Q17-P17)/(DATE(YEAR(P17),12,31)-DATE(YEAR(P17),1,1)+1),(DATE(YEAR(P17)+1,1,1)-P17)/(DATE(YEAR(P17),12,31)-DATE(YEAR(P17),1,1)+1)+(Q17-DATE(YEAR(Q17),1,1))/(DATE(YEAR(Q17),12,31)-DATE(YEAR(Q17),1,1)+1)),2))</f>
        <v/>
      </c>
      <c r="S17" s="46" t="str">
        <f>IF(P17="","",ROUND(S16+R17+IF(Q17&lt;'Навигатор накоплений'!F23,N('Навигатор накоплений'!G23),0),2))</f>
        <v/>
      </c>
      <c r="U17" s="45" t="str">
        <f>IF('Навигатор накоплений'!A24="","",IF(11&lt;=DATEDIF('Навигатор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накоплений'!F24,1,0),V16,""))</f>
        <v/>
      </c>
      <c r="V17" s="45" t="str">
        <f>IF(U17="","",MIN(EDATE('Навигатор накоплений'!E24,11),'Навигатор накоплений'!F24))</f>
        <v/>
      </c>
      <c r="W17" s="46" t="str">
        <f>IF(U17="","",ROUND(X16*'Навигатор накоплений'!D24*IF(YEAR(U17)=YEAR(V17-1),(V17-U17)/(DATE(YEAR(U17),12,31)-DATE(YEAR(U17),1,1)+1),(DATE(YEAR(U17)+1,1,1)-U17)/(DATE(YEAR(U17),12,31)-DATE(YEAR(U17),1,1)+1)+(V17-DATE(YEAR(V17),1,1))/(DATE(YEAR(V17),12,31)-DATE(YEAR(V17),1,1)+1)),2))</f>
        <v/>
      </c>
      <c r="X17" s="46" t="str">
        <f>IF(U17="","",ROUND(X16+W17+IF(V17&lt;'Навигатор накоплений'!F24,N('Навигатор накоплений'!G24),0),2))</f>
        <v/>
      </c>
      <c r="Z17" s="45" t="str">
        <f>IF('Навигатор накоплений'!A25="","",IF(11&lt;=DATEDIF('Навигатор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накоплений'!F25,1,0),AA16,""))</f>
        <v/>
      </c>
      <c r="AA17" s="45" t="str">
        <f>IF(Z17="","",MIN(EDATE('Навигатор накоплений'!E25,11),'Навигатор накоплений'!F25))</f>
        <v/>
      </c>
      <c r="AB17" s="46" t="str">
        <f>IF(Z17="","",ROUND(AC16*'Навигатор накоплений'!D25*IF(YEAR(Z17)=YEAR(AA17-1),(AA17-Z17)/(DATE(YEAR(Z17),12,31)-DATE(YEAR(Z17),1,1)+1),(DATE(YEAR(Z17)+1,1,1)-Z17)/(DATE(YEAR(Z17),12,31)-DATE(YEAR(Z17),1,1)+1)+(AA17-DATE(YEAR(AA17),1,1))/(DATE(YEAR(AA17),12,31)-DATE(YEAR(AA17),1,1)+1)),2))</f>
        <v/>
      </c>
      <c r="AC17" s="46" t="str">
        <f>IF(Z17="","",ROUND(AC16+AB17+IF(AA17&lt;'Навигатор накоплений'!F25,N('Навигатор накоплений'!G25),0),2))</f>
        <v/>
      </c>
      <c r="AE17" t="str">
        <f>IF('Навигатор накоплений'!A26="","",IF(11&lt;=DATEDIF('Навигатор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накоплений'!F26,1,0),AF16,""))</f>
        <v/>
      </c>
      <c r="AF17" t="str">
        <f>IF(AE17="","",MIN(EDATE('Навигатор накоплений'!E26,11),'Навигатор накоплений'!F26))</f>
        <v/>
      </c>
      <c r="AG17" t="str">
        <f>IF(AE17="","",ROUND(AH16*'Навигатор накоплений'!D26*IF(YEAR(AE17)=YEAR(AF17-1),(AF17-AE17)/(DATE(YEAR(AE17),12,31)-DATE(YEAR(AE17),1,1)+1),(DATE(YEAR(AE17)+1,1,1)-AE17)/(DATE(YEAR(AE17),12,31)-DATE(YEAR(AE17),1,1)+1)+(AF17-DATE(YEAR(AF17),1,1))/(DATE(YEAR(AF17),12,31)-DATE(YEAR(AF17),1,1)+1)),2))</f>
        <v/>
      </c>
      <c r="AH17" t="str">
        <f>IF(AE17="","",ROUND(AH16+AG17+IF(AF17&lt;'Навигатор накоплений'!F26,N('Навигатор накоплений'!G26),0),2))</f>
        <v/>
      </c>
      <c r="AJ17" t="str">
        <f>IF('Навигатор накоплений'!A27="","",IF(11&lt;=DATEDIF('Навигатор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накоплений'!F27,1,0),AK16,""))</f>
        <v/>
      </c>
      <c r="AK17" t="str">
        <f>IF(AJ17="","",MIN(EDATE('Навигатор накоплений'!E27,11),'Навигатор накоплений'!F27))</f>
        <v/>
      </c>
      <c r="AL17" t="str">
        <f>IF(AJ17="","",ROUND(AM16*'Навигатор накоплений'!D27*IF(YEAR(AJ17)=YEAR(AK17-1),(AK17-AJ17)/(DATE(YEAR(AJ17),12,31)-DATE(YEAR(AJ17),1,1)+1),(DATE(YEAR(AJ17)+1,1,1)-AJ17)/(DATE(YEAR(AJ17),12,31)-DATE(YEAR(AJ17),1,1)+1)+(AK17-DATE(YEAR(AK17),1,1))/(DATE(YEAR(AK17),12,31)-DATE(YEAR(AK17),1,1)+1)),2))</f>
        <v/>
      </c>
      <c r="AM17" t="str">
        <f>IF(AJ17="","",ROUND(AM16+AL17+IF(AK17&lt;'Навигатор накоплений'!F27,N('Навигатор накоплений'!G27),0),2))</f>
        <v/>
      </c>
      <c r="AO17" t="str">
        <f>IF('Навигатор накоплений'!A28="","",IF(11&lt;=DATEDIF('Навигатор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накоплений'!F28,1,0),AP16,""))</f>
        <v/>
      </c>
      <c r="AP17" t="str">
        <f>IF(AO17="","",MIN(EDATE('Навигатор накоплений'!E28,11),'Навигатор накоплений'!F28))</f>
        <v/>
      </c>
      <c r="AQ17" t="str">
        <f>IF(AO17="","",ROUND(AR16*'Навигатор накоплений'!D28*IF(YEAR(AO17)=YEAR(AP17-1),(AP17-AO17)/(DATE(YEAR(AO17),12,31)-DATE(YEAR(AO17),1,1)+1),(DATE(YEAR(AO17)+1,1,1)-AO17)/(DATE(YEAR(AO17),12,31)-DATE(YEAR(AO17),1,1)+1)+(AP17-DATE(YEAR(AP17),1,1))/(DATE(YEAR(AP17),12,31)-DATE(YEAR(AP17),1,1)+1)),2))</f>
        <v/>
      </c>
      <c r="AR17" t="str">
        <f>IF(AO17="","",ROUND(AR16+AQ17+IF(AP17&lt;'Навигатор накоплений'!F28,N('Навигатор накоплений'!G28),0),2))</f>
        <v/>
      </c>
      <c r="AT17">
        <f t="shared" si="0"/>
        <v>0</v>
      </c>
      <c r="AU17">
        <f t="shared" si="1"/>
        <v>0</v>
      </c>
      <c r="AV17">
        <f t="shared" si="2"/>
        <v>0</v>
      </c>
      <c r="AW17">
        <f t="shared" si="3"/>
        <v>0</v>
      </c>
      <c r="AX17">
        <f t="shared" si="4"/>
        <v>0</v>
      </c>
      <c r="AY17">
        <f t="shared" si="5"/>
        <v>0</v>
      </c>
      <c r="AZ17">
        <f t="shared" si="6"/>
        <v>0</v>
      </c>
      <c r="BA17">
        <f t="shared" si="7"/>
        <v>0</v>
      </c>
      <c r="BB17">
        <f t="shared" si="8"/>
        <v>0</v>
      </c>
      <c r="BC17">
        <f t="shared" si="9"/>
        <v>0</v>
      </c>
      <c r="BD17">
        <f t="shared" si="10"/>
        <v>0</v>
      </c>
      <c r="BE17">
        <f t="shared" si="11"/>
        <v>0</v>
      </c>
      <c r="BF17">
        <f t="shared" si="12"/>
        <v>0</v>
      </c>
      <c r="BG17"/>
    </row>
    <row r="18" spans="1:59" ht="15" x14ac:dyDescent="0.2">
      <c r="A18" s="43">
        <v>9</v>
      </c>
      <c r="B18" s="45" t="str">
        <f>IF('Навигатор накоплений'!A31="","",EDATE('Навигатор накоплений'!C31,A18-1))</f>
        <v/>
      </c>
      <c r="C18" s="45" t="str">
        <f>IF(B18="","",EDATE('Навигатор накоплений'!C31,A18))</f>
        <v/>
      </c>
      <c r="D18" s="46" t="str">
        <f t="shared" si="15"/>
        <v/>
      </c>
      <c r="E18" s="46" t="str">
        <f>IF(B18="","",N('Навигатор накоплений'!G31))</f>
        <v/>
      </c>
      <c r="F18" s="46" t="str">
        <f>IF(B18="","",IF('Навигатор накоплений'!F31="Ежедневный остаток",D18+E18,D18))</f>
        <v/>
      </c>
      <c r="G18" s="48" t="str">
        <f t="shared" si="13"/>
        <v/>
      </c>
      <c r="H18" s="46" t="str">
        <f>IF(B18="","",ROUND(F18*'Навигатор накоплений'!E31*IF(YEAR(B18)=YEAR(C18-1),(C18-B18)/(DATE(YEAR(B18),12,31)-DATE(YEAR(B18),1,1)+1),(DATE(YEAR(B18)+1,1,1)-B18)/(DATE(YEAR(B18),12,31)-DATE(YEAR(B18),1,1)+1)+(C18-DATE(YEAR(C18),1,1))/(DATE(YEAR(C18),12,31)-DATE(YEAR(C18),1,1)+1)),2))</f>
        <v/>
      </c>
      <c r="I18" s="46" t="str">
        <f t="shared" si="14"/>
        <v/>
      </c>
      <c r="K18" s="45" t="str">
        <f>IF('Навигатор накоплений'!A22="","",IF(12&lt;=DATEDIF('Навигатор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накоплений'!F22,1,0),L17,""))</f>
        <v/>
      </c>
      <c r="L18" s="45" t="str">
        <f>IF(K18="","",MIN(EDATE('Навигатор накоплений'!E22,12),'Навигатор накоплений'!F22))</f>
        <v/>
      </c>
      <c r="M18" s="46" t="str">
        <f>IF(K18="","",ROUND(N17*'Навигатор накоплений'!D22*IF(YEAR(K18)=YEAR(L18-1),(L18-K18)/(DATE(YEAR(K18),12,31)-DATE(YEAR(K18),1,1)+1),(DATE(YEAR(K18)+1,1,1)-K18)/(DATE(YEAR(K18),12,31)-DATE(YEAR(K18),1,1)+1)+(L18-DATE(YEAR(L18),1,1))/(DATE(YEAR(L18),12,31)-DATE(YEAR(L18),1,1)+1)),2))</f>
        <v/>
      </c>
      <c r="N18" s="46" t="str">
        <f>IF(K18="","",ROUND(N17+M18+IF(L18&lt;'Навигатор накоплений'!F22,N('Навигатор накоплений'!G22),0),2))</f>
        <v/>
      </c>
      <c r="P18" s="45" t="str">
        <f>IF('Навигатор накоплений'!A23="","",IF(12&lt;=DATEDIF('Навигатор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накоплений'!F23,1,0),Q17,""))</f>
        <v/>
      </c>
      <c r="Q18" s="45" t="str">
        <f>IF(P18="","",MIN(EDATE('Навигатор накоплений'!E23,12),'Навигатор накоплений'!F23))</f>
        <v/>
      </c>
      <c r="R18" s="46" t="str">
        <f>IF(P18="","",ROUND(S17*'Навигатор накоплений'!D23*IF(YEAR(P18)=YEAR(Q18-1),(Q18-P18)/(DATE(YEAR(P18),12,31)-DATE(YEAR(P18),1,1)+1),(DATE(YEAR(P18)+1,1,1)-P18)/(DATE(YEAR(P18),12,31)-DATE(YEAR(P18),1,1)+1)+(Q18-DATE(YEAR(Q18),1,1))/(DATE(YEAR(Q18),12,31)-DATE(YEAR(Q18),1,1)+1)),2))</f>
        <v/>
      </c>
      <c r="S18" s="46" t="str">
        <f>IF(P18="","",ROUND(S17+R18+IF(Q18&lt;'Навигатор накоплений'!F23,N('Навигатор накоплений'!G23),0),2))</f>
        <v/>
      </c>
      <c r="U18" s="45" t="str">
        <f>IF('Навигатор накоплений'!A24="","",IF(12&lt;=DATEDIF('Навигатор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накоплений'!F24,1,0),V17,""))</f>
        <v/>
      </c>
      <c r="V18" s="45" t="str">
        <f>IF(U18="","",MIN(EDATE('Навигатор накоплений'!E24,12),'Навигатор накоплений'!F24))</f>
        <v/>
      </c>
      <c r="W18" s="46" t="str">
        <f>IF(U18="","",ROUND(X17*'Навигатор накоплений'!D24*IF(YEAR(U18)=YEAR(V18-1),(V18-U18)/(DATE(YEAR(U18),12,31)-DATE(YEAR(U18),1,1)+1),(DATE(YEAR(U18)+1,1,1)-U18)/(DATE(YEAR(U18),12,31)-DATE(YEAR(U18),1,1)+1)+(V18-DATE(YEAR(V18),1,1))/(DATE(YEAR(V18),12,31)-DATE(YEAR(V18),1,1)+1)),2))</f>
        <v/>
      </c>
      <c r="X18" s="46" t="str">
        <f>IF(U18="","",ROUND(X17+W18+IF(V18&lt;'Навигатор накоплений'!F24,N('Навигатор накоплений'!G24),0),2))</f>
        <v/>
      </c>
      <c r="Z18" s="45" t="str">
        <f>IF('Навигатор накоплений'!A25="","",IF(12&lt;=DATEDIF('Навигатор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накоплений'!F25,1,0),AA17,""))</f>
        <v/>
      </c>
      <c r="AA18" s="45" t="str">
        <f>IF(Z18="","",MIN(EDATE('Навигатор накоплений'!E25,12),'Навигатор накоплений'!F25))</f>
        <v/>
      </c>
      <c r="AB18" s="46" t="str">
        <f>IF(Z18="","",ROUND(AC17*'Навигатор накоплений'!D25*IF(YEAR(Z18)=YEAR(AA18-1),(AA18-Z18)/(DATE(YEAR(Z18),12,31)-DATE(YEAR(Z18),1,1)+1),(DATE(YEAR(Z18)+1,1,1)-Z18)/(DATE(YEAR(Z18),12,31)-DATE(YEAR(Z18),1,1)+1)+(AA18-DATE(YEAR(AA18),1,1))/(DATE(YEAR(AA18),12,31)-DATE(YEAR(AA18),1,1)+1)),2))</f>
        <v/>
      </c>
      <c r="AC18" s="46" t="str">
        <f>IF(Z18="","",ROUND(AC17+AB18+IF(AA18&lt;'Навигатор накоплений'!F25,N('Навигатор накоплений'!G25),0),2))</f>
        <v/>
      </c>
      <c r="AE18" t="str">
        <f>IF('Навигатор накоплений'!A26="","",IF(12&lt;=DATEDIF('Навигатор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накоплений'!F26,1,0),AF17,""))</f>
        <v/>
      </c>
      <c r="AF18" t="str">
        <f>IF(AE18="","",MIN(EDATE('Навигатор накоплений'!E26,12),'Навигатор накоплений'!F26))</f>
        <v/>
      </c>
      <c r="AG18" t="str">
        <f>IF(AE18="","",ROUND(AH17*'Навигатор накоплений'!D26*IF(YEAR(AE18)=YEAR(AF18-1),(AF18-AE18)/(DATE(YEAR(AE18),12,31)-DATE(YEAR(AE18),1,1)+1),(DATE(YEAR(AE18)+1,1,1)-AE18)/(DATE(YEAR(AE18),12,31)-DATE(YEAR(AE18),1,1)+1)+(AF18-DATE(YEAR(AF18),1,1))/(DATE(YEAR(AF18),12,31)-DATE(YEAR(AF18),1,1)+1)),2))</f>
        <v/>
      </c>
      <c r="AH18" t="str">
        <f>IF(AE18="","",ROUND(AH17+AG18+IF(AF18&lt;'Навигатор накоплений'!F26,N('Навигатор накоплений'!G26),0),2))</f>
        <v/>
      </c>
      <c r="AJ18" t="str">
        <f>IF('Навигатор накоплений'!A27="","",IF(12&lt;=DATEDIF('Навигатор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накоплений'!F27,1,0),AK17,""))</f>
        <v/>
      </c>
      <c r="AK18" t="str">
        <f>IF(AJ18="","",MIN(EDATE('Навигатор накоплений'!E27,12),'Навигатор накоплений'!F27))</f>
        <v/>
      </c>
      <c r="AL18" t="str">
        <f>IF(AJ18="","",ROUND(AM17*'Навигатор накоплений'!D27*IF(YEAR(AJ18)=YEAR(AK18-1),(AK18-AJ18)/(DATE(YEAR(AJ18),12,31)-DATE(YEAR(AJ18),1,1)+1),(DATE(YEAR(AJ18)+1,1,1)-AJ18)/(DATE(YEAR(AJ18),12,31)-DATE(YEAR(AJ18),1,1)+1)+(AK18-DATE(YEAR(AK18),1,1))/(DATE(YEAR(AK18),12,31)-DATE(YEAR(AK18),1,1)+1)),2))</f>
        <v/>
      </c>
      <c r="AM18" t="str">
        <f>IF(AJ18="","",ROUND(AM17+AL18+IF(AK18&lt;'Навигатор накоплений'!F27,N('Навигатор накоплений'!G27),0),2))</f>
        <v/>
      </c>
      <c r="AO18" t="str">
        <f>IF('Навигатор накоплений'!A28="","",IF(12&lt;=DATEDIF('Навигатор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накоплений'!F28,1,0),AP17,""))</f>
        <v/>
      </c>
      <c r="AP18" t="str">
        <f>IF(AO18="","",MIN(EDATE('Навигатор накоплений'!E28,12),'Навигатор накоплений'!F28))</f>
        <v/>
      </c>
      <c r="AQ18" t="str">
        <f>IF(AO18="","",ROUND(AR17*'Навигатор накоплений'!D28*IF(YEAR(AO18)=YEAR(AP18-1),(AP18-AO18)/(DATE(YEAR(AO18),12,31)-DATE(YEAR(AO18),1,1)+1),(DATE(YEAR(AO18)+1,1,1)-AO18)/(DATE(YEAR(AO18),12,31)-DATE(YEAR(AO18),1,1)+1)+(AP18-DATE(YEAR(AP18),1,1))/(DATE(YEAR(AP18),12,31)-DATE(YEAR(AP18),1,1)+1)),2))</f>
        <v/>
      </c>
      <c r="AR18" t="str">
        <f>IF(AO18="","",ROUND(AR17+AQ18+IF(AP18&lt;'Навигатор накоплений'!F28,N('Навигатор накоплений'!G28),0),2))</f>
        <v/>
      </c>
      <c r="AT18">
        <f t="shared" si="0"/>
        <v>0</v>
      </c>
      <c r="AU18">
        <f t="shared" si="1"/>
        <v>0</v>
      </c>
      <c r="AV18">
        <f t="shared" si="2"/>
        <v>0</v>
      </c>
      <c r="AW18">
        <f t="shared" si="3"/>
        <v>0</v>
      </c>
      <c r="AX18">
        <f t="shared" si="4"/>
        <v>0</v>
      </c>
      <c r="AY18">
        <f t="shared" si="5"/>
        <v>0</v>
      </c>
      <c r="AZ18">
        <f t="shared" si="6"/>
        <v>0</v>
      </c>
      <c r="BA18">
        <f t="shared" si="7"/>
        <v>0</v>
      </c>
      <c r="BB18">
        <f t="shared" si="8"/>
        <v>0</v>
      </c>
      <c r="BC18">
        <f t="shared" si="9"/>
        <v>0</v>
      </c>
      <c r="BD18">
        <f t="shared" si="10"/>
        <v>0</v>
      </c>
      <c r="BE18">
        <f t="shared" si="11"/>
        <v>0</v>
      </c>
      <c r="BF18">
        <f t="shared" si="12"/>
        <v>0</v>
      </c>
      <c r="BG18"/>
    </row>
    <row r="19" spans="1:59" ht="15" x14ac:dyDescent="0.2">
      <c r="A19" s="43">
        <v>10</v>
      </c>
      <c r="B19" s="45" t="str">
        <f>IF('Навигатор накоплений'!A31="","",EDATE('Навигатор накоплений'!C31,A19-1))</f>
        <v/>
      </c>
      <c r="C19" s="45" t="str">
        <f>IF(B19="","",EDATE('Навигатор накоплений'!C31,A19))</f>
        <v/>
      </c>
      <c r="D19" s="46" t="str">
        <f t="shared" si="15"/>
        <v/>
      </c>
      <c r="E19" s="46" t="str">
        <f>IF(B19="","",N('Навигатор накоплений'!G31))</f>
        <v/>
      </c>
      <c r="F19" s="46" t="str">
        <f>IF(B19="","",IF('Навигатор накоплений'!F31="Ежедневный остаток",D19+E19,D19))</f>
        <v/>
      </c>
      <c r="G19" s="48" t="str">
        <f t="shared" si="13"/>
        <v/>
      </c>
      <c r="H19" s="46" t="str">
        <f>IF(B19="","",ROUND(F19*'Навигатор накоплений'!E31*IF(YEAR(B19)=YEAR(C19-1),(C19-B19)/(DATE(YEAR(B19),12,31)-DATE(YEAR(B19),1,1)+1),(DATE(YEAR(B19)+1,1,1)-B19)/(DATE(YEAR(B19),12,31)-DATE(YEAR(B19),1,1)+1)+(C19-DATE(YEAR(C19),1,1))/(DATE(YEAR(C19),12,31)-DATE(YEAR(C19),1,1)+1)),2))</f>
        <v/>
      </c>
      <c r="I19" s="46" t="str">
        <f t="shared" si="14"/>
        <v/>
      </c>
      <c r="K19" s="45" t="str">
        <f>IF('Навигатор накоплений'!A22="","",IF(13&lt;=DATEDIF('Навигатор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накоплений'!F22,1,0),L18,""))</f>
        <v/>
      </c>
      <c r="L19" s="45" t="str">
        <f>IF(K19="","",MIN(EDATE('Навигатор накоплений'!E22,13),'Навигатор накоплений'!F22))</f>
        <v/>
      </c>
      <c r="M19" s="46" t="str">
        <f>IF(K19="","",ROUND(N18*'Навигатор накоплений'!D22*IF(YEAR(K19)=YEAR(L19-1),(L19-K19)/(DATE(YEAR(K19),12,31)-DATE(YEAR(K19),1,1)+1),(DATE(YEAR(K19)+1,1,1)-K19)/(DATE(YEAR(K19),12,31)-DATE(YEAR(K19),1,1)+1)+(L19-DATE(YEAR(L19),1,1))/(DATE(YEAR(L19),12,31)-DATE(YEAR(L19),1,1)+1)),2))</f>
        <v/>
      </c>
      <c r="N19" s="46" t="str">
        <f>IF(K19="","",ROUND(N18+M19+IF(L19&lt;'Навигатор накоплений'!F22,N('Навигатор накоплений'!G22),0),2))</f>
        <v/>
      </c>
      <c r="P19" s="45" t="str">
        <f>IF('Навигатор накоплений'!A23="","",IF(13&lt;=DATEDIF('Навигатор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накоплений'!F23,1,0),Q18,""))</f>
        <v/>
      </c>
      <c r="Q19" s="45" t="str">
        <f>IF(P19="","",MIN(EDATE('Навигатор накоплений'!E23,13),'Навигатор накоплений'!F23))</f>
        <v/>
      </c>
      <c r="R19" s="46" t="str">
        <f>IF(P19="","",ROUND(S18*'Навигатор накоплений'!D23*IF(YEAR(P19)=YEAR(Q19-1),(Q19-P19)/(DATE(YEAR(P19),12,31)-DATE(YEAR(P19),1,1)+1),(DATE(YEAR(P19)+1,1,1)-P19)/(DATE(YEAR(P19),12,31)-DATE(YEAR(P19),1,1)+1)+(Q19-DATE(YEAR(Q19),1,1))/(DATE(YEAR(Q19),12,31)-DATE(YEAR(Q19),1,1)+1)),2))</f>
        <v/>
      </c>
      <c r="S19" s="46" t="str">
        <f>IF(P19="","",ROUND(S18+R19+IF(Q19&lt;'Навигатор накоплений'!F23,N('Навигатор накоплений'!G23),0),2))</f>
        <v/>
      </c>
      <c r="U19" s="45" t="str">
        <f>IF('Навигатор накоплений'!A24="","",IF(13&lt;=DATEDIF('Навигатор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накоплений'!F24,1,0),V18,""))</f>
        <v/>
      </c>
      <c r="V19" s="45" t="str">
        <f>IF(U19="","",MIN(EDATE('Навигатор накоплений'!E24,13),'Навигатор накоплений'!F24))</f>
        <v/>
      </c>
      <c r="W19" s="46" t="str">
        <f>IF(U19="","",ROUND(X18*'Навигатор накоплений'!D24*IF(YEAR(U19)=YEAR(V19-1),(V19-U19)/(DATE(YEAR(U19),12,31)-DATE(YEAR(U19),1,1)+1),(DATE(YEAR(U19)+1,1,1)-U19)/(DATE(YEAR(U19),12,31)-DATE(YEAR(U19),1,1)+1)+(V19-DATE(YEAR(V19),1,1))/(DATE(YEAR(V19),12,31)-DATE(YEAR(V19),1,1)+1)),2))</f>
        <v/>
      </c>
      <c r="X19" s="46" t="str">
        <f>IF(U19="","",ROUND(X18+W19+IF(V19&lt;'Навигатор накоплений'!F24,N('Навигатор накоплений'!G24),0),2))</f>
        <v/>
      </c>
      <c r="Z19" s="45" t="str">
        <f>IF('Навигатор накоплений'!A25="","",IF(13&lt;=DATEDIF('Навигатор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накоплений'!F25,1,0),AA18,""))</f>
        <v/>
      </c>
      <c r="AA19" s="45" t="str">
        <f>IF(Z19="","",MIN(EDATE('Навигатор накоплений'!E25,13),'Навигатор накоплений'!F25))</f>
        <v/>
      </c>
      <c r="AB19" s="46" t="str">
        <f>IF(Z19="","",ROUND(AC18*'Навигатор накоплений'!D25*IF(YEAR(Z19)=YEAR(AA19-1),(AA19-Z19)/(DATE(YEAR(Z19),12,31)-DATE(YEAR(Z19),1,1)+1),(DATE(YEAR(Z19)+1,1,1)-Z19)/(DATE(YEAR(Z19),12,31)-DATE(YEAR(Z19),1,1)+1)+(AA19-DATE(YEAR(AA19),1,1))/(DATE(YEAR(AA19),12,31)-DATE(YEAR(AA19),1,1)+1)),2))</f>
        <v/>
      </c>
      <c r="AC19" s="46" t="str">
        <f>IF(Z19="","",ROUND(AC18+AB19+IF(AA19&lt;'Навигатор накоплений'!F25,N('Навигатор накоплений'!G25),0),2))</f>
        <v/>
      </c>
      <c r="AE19" t="str">
        <f>IF('Навигатор накоплений'!A26="","",IF(13&lt;=DATEDIF('Навигатор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накоплений'!F26,1,0),AF18,""))</f>
        <v/>
      </c>
      <c r="AF19" t="str">
        <f>IF(AE19="","",MIN(EDATE('Навигатор накоплений'!E26,13),'Навигатор накоплений'!F26))</f>
        <v/>
      </c>
      <c r="AG19" t="str">
        <f>IF(AE19="","",ROUND(AH18*'Навигатор накоплений'!D26*IF(YEAR(AE19)=YEAR(AF19-1),(AF19-AE19)/(DATE(YEAR(AE19),12,31)-DATE(YEAR(AE19),1,1)+1),(DATE(YEAR(AE19)+1,1,1)-AE19)/(DATE(YEAR(AE19),12,31)-DATE(YEAR(AE19),1,1)+1)+(AF19-DATE(YEAR(AF19),1,1))/(DATE(YEAR(AF19),12,31)-DATE(YEAR(AF19),1,1)+1)),2))</f>
        <v/>
      </c>
      <c r="AH19" t="str">
        <f>IF(AE19="","",ROUND(AH18+AG19+IF(AF19&lt;'Навигатор накоплений'!F26,N('Навигатор накоплений'!G26),0),2))</f>
        <v/>
      </c>
      <c r="AJ19" t="str">
        <f>IF('Навигатор накоплений'!A27="","",IF(13&lt;=DATEDIF('Навигатор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накоплений'!F27,1,0),AK18,""))</f>
        <v/>
      </c>
      <c r="AK19" t="str">
        <f>IF(AJ19="","",MIN(EDATE('Навигатор накоплений'!E27,13),'Навигатор накоплений'!F27))</f>
        <v/>
      </c>
      <c r="AL19" t="str">
        <f>IF(AJ19="","",ROUND(AM18*'Навигатор накоплений'!D27*IF(YEAR(AJ19)=YEAR(AK19-1),(AK19-AJ19)/(DATE(YEAR(AJ19),12,31)-DATE(YEAR(AJ19),1,1)+1),(DATE(YEAR(AJ19)+1,1,1)-AJ19)/(DATE(YEAR(AJ19),12,31)-DATE(YEAR(AJ19),1,1)+1)+(AK19-DATE(YEAR(AK19),1,1))/(DATE(YEAR(AK19),12,31)-DATE(YEAR(AK19),1,1)+1)),2))</f>
        <v/>
      </c>
      <c r="AM19" t="str">
        <f>IF(AJ19="","",ROUND(AM18+AL19+IF(AK19&lt;'Навигатор накоплений'!F27,N('Навигатор накоплений'!G27),0),2))</f>
        <v/>
      </c>
      <c r="AO19" t="str">
        <f>IF('Навигатор накоплений'!A28="","",IF(13&lt;=DATEDIF('Навигатор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накоплений'!F28,1,0),AP18,""))</f>
        <v/>
      </c>
      <c r="AP19" t="str">
        <f>IF(AO19="","",MIN(EDATE('Навигатор накоплений'!E28,13),'Навигатор накоплений'!F28))</f>
        <v/>
      </c>
      <c r="AQ19" t="str">
        <f>IF(AO19="","",ROUND(AR18*'Навигатор накоплений'!D28*IF(YEAR(AO19)=YEAR(AP19-1),(AP19-AO19)/(DATE(YEAR(AO19),12,31)-DATE(YEAR(AO19),1,1)+1),(DATE(YEAR(AO19)+1,1,1)-AO19)/(DATE(YEAR(AO19),12,31)-DATE(YEAR(AO19),1,1)+1)+(AP19-DATE(YEAR(AP19),1,1))/(DATE(YEAR(AP19),12,31)-DATE(YEAR(AP19),1,1)+1)),2))</f>
        <v/>
      </c>
      <c r="AR19" t="str">
        <f>IF(AO19="","",ROUND(AR18+AQ19+IF(AP19&lt;'Навигатор накоплений'!F28,N('Навигатор накоплений'!G28),0),2))</f>
        <v/>
      </c>
      <c r="AT19">
        <f t="shared" si="0"/>
        <v>0</v>
      </c>
      <c r="AU19">
        <f t="shared" si="1"/>
        <v>0</v>
      </c>
      <c r="AV19">
        <f t="shared" si="2"/>
        <v>0</v>
      </c>
      <c r="AW19">
        <f t="shared" si="3"/>
        <v>0</v>
      </c>
      <c r="AX19">
        <f t="shared" si="4"/>
        <v>0</v>
      </c>
      <c r="AY19">
        <f t="shared" si="5"/>
        <v>0</v>
      </c>
      <c r="AZ19">
        <f t="shared" si="6"/>
        <v>0</v>
      </c>
      <c r="BA19">
        <f t="shared" ref="BA19:BF19" si="16">SUM(BA7:BA18)</f>
        <v>0</v>
      </c>
      <c r="BB19">
        <f t="shared" si="16"/>
        <v>0</v>
      </c>
      <c r="BC19">
        <f t="shared" si="16"/>
        <v>0</v>
      </c>
      <c r="BD19">
        <f t="shared" si="16"/>
        <v>0</v>
      </c>
      <c r="BE19">
        <f t="shared" si="16"/>
        <v>0</v>
      </c>
      <c r="BF19">
        <f t="shared" si="16"/>
        <v>0</v>
      </c>
      <c r="BG19"/>
    </row>
    <row r="20" spans="1:59" ht="15" x14ac:dyDescent="0.2">
      <c r="A20" s="43">
        <v>11</v>
      </c>
      <c r="B20" s="45" t="str">
        <f>IF('Навигатор накоплений'!A31="","",EDATE('Навигатор накоплений'!C31,A20-1))</f>
        <v/>
      </c>
      <c r="C20" s="45" t="str">
        <f>IF(B20="","",EDATE('Навигатор накоплений'!C31,A20))</f>
        <v/>
      </c>
      <c r="D20" s="46" t="str">
        <f t="shared" si="15"/>
        <v/>
      </c>
      <c r="E20" s="46" t="str">
        <f>IF(B20="","",N('Навигатор накоплений'!G31))</f>
        <v/>
      </c>
      <c r="F20" s="46" t="str">
        <f>IF(B20="","",IF('Навигатор накоплений'!F31="Ежедневный остаток",D20+E20,D20))</f>
        <v/>
      </c>
      <c r="G20" s="48" t="str">
        <f t="shared" si="13"/>
        <v/>
      </c>
      <c r="H20" s="46" t="str">
        <f>IF(B20="","",ROUND(F20*'Навигатор накоплений'!E31*IF(YEAR(B20)=YEAR(C20-1),(C20-B20)/(DATE(YEAR(B20),12,31)-DATE(YEAR(B20),1,1)+1),(DATE(YEAR(B20)+1,1,1)-B20)/(DATE(YEAR(B20),12,31)-DATE(YEAR(B20),1,1)+1)+(C20-DATE(YEAR(C20),1,1))/(DATE(YEAR(C20),12,31)-DATE(YEAR(C20),1,1)+1)),2))</f>
        <v/>
      </c>
      <c r="I20" s="46" t="str">
        <f t="shared" si="14"/>
        <v/>
      </c>
      <c r="K20" s="45" t="str">
        <f>IF('Навигатор накоплений'!A22="","",IF(14&lt;=DATEDIF('Навигатор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накоплений'!F22,1,0),L19,""))</f>
        <v/>
      </c>
      <c r="L20" s="45" t="str">
        <f>IF(K20="","",MIN(EDATE('Навигатор накоплений'!E22,14),'Навигатор накоплений'!F22))</f>
        <v/>
      </c>
      <c r="M20" s="46" t="str">
        <f>IF(K20="","",ROUND(N19*'Навигатор накоплений'!D22*IF(YEAR(K20)=YEAR(L20-1),(L20-K20)/(DATE(YEAR(K20),12,31)-DATE(YEAR(K20),1,1)+1),(DATE(YEAR(K20)+1,1,1)-K20)/(DATE(YEAR(K20),12,31)-DATE(YEAR(K20),1,1)+1)+(L20-DATE(YEAR(L20),1,1))/(DATE(YEAR(L20),12,31)-DATE(YEAR(L20),1,1)+1)),2))</f>
        <v/>
      </c>
      <c r="N20" s="46" t="str">
        <f>IF(K20="","",ROUND(N19+M20+IF(L20&lt;'Навигатор накоплений'!F22,N('Навигатор накоплений'!G22),0),2))</f>
        <v/>
      </c>
      <c r="P20" s="45" t="str">
        <f>IF('Навигатор накоплений'!A23="","",IF(14&lt;=DATEDIF('Навигатор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накоплений'!F23,1,0),Q19,""))</f>
        <v/>
      </c>
      <c r="Q20" s="45" t="str">
        <f>IF(P20="","",MIN(EDATE('Навигатор накоплений'!E23,14),'Навигатор накоплений'!F23))</f>
        <v/>
      </c>
      <c r="R20" s="46" t="str">
        <f>IF(P20="","",ROUND(S19*'Навигатор накоплений'!D23*IF(YEAR(P20)=YEAR(Q20-1),(Q20-P20)/(DATE(YEAR(P20),12,31)-DATE(YEAR(P20),1,1)+1),(DATE(YEAR(P20)+1,1,1)-P20)/(DATE(YEAR(P20),12,31)-DATE(YEAR(P20),1,1)+1)+(Q20-DATE(YEAR(Q20),1,1))/(DATE(YEAR(Q20),12,31)-DATE(YEAR(Q20),1,1)+1)),2))</f>
        <v/>
      </c>
      <c r="S20" s="46" t="str">
        <f>IF(P20="","",ROUND(S19+R20+IF(Q20&lt;'Навигатор накоплений'!F23,N('Навигатор накоплений'!G23),0),2))</f>
        <v/>
      </c>
      <c r="U20" s="45" t="str">
        <f>IF('Навигатор накоплений'!A24="","",IF(14&lt;=DATEDIF('Навигатор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накоплений'!F24,1,0),V19,""))</f>
        <v/>
      </c>
      <c r="V20" s="45" t="str">
        <f>IF(U20="","",MIN(EDATE('Навигатор накоплений'!E24,14),'Навигатор накоплений'!F24))</f>
        <v/>
      </c>
      <c r="W20" s="46" t="str">
        <f>IF(U20="","",ROUND(X19*'Навигатор накоплений'!D24*IF(YEAR(U20)=YEAR(V20-1),(V20-U20)/(DATE(YEAR(U20),12,31)-DATE(YEAR(U20),1,1)+1),(DATE(YEAR(U20)+1,1,1)-U20)/(DATE(YEAR(U20),12,31)-DATE(YEAR(U20),1,1)+1)+(V20-DATE(YEAR(V20),1,1))/(DATE(YEAR(V20),12,31)-DATE(YEAR(V20),1,1)+1)),2))</f>
        <v/>
      </c>
      <c r="X20" s="46" t="str">
        <f>IF(U20="","",ROUND(X19+W20+IF(V20&lt;'Навигатор накоплений'!F24,N('Навигатор накоплений'!G24),0),2))</f>
        <v/>
      </c>
      <c r="Z20" s="45" t="str">
        <f>IF('Навигатор накоплений'!A25="","",IF(14&lt;=DATEDIF('Навигатор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накоплений'!F25,1,0),AA19,""))</f>
        <v/>
      </c>
      <c r="AA20" s="45" t="str">
        <f>IF(Z20="","",MIN(EDATE('Навигатор накоплений'!E25,14),'Навигатор накоплений'!F25))</f>
        <v/>
      </c>
      <c r="AB20" s="46" t="str">
        <f>IF(Z20="","",ROUND(AC19*'Навигатор накоплений'!D25*IF(YEAR(Z20)=YEAR(AA20-1),(AA20-Z20)/(DATE(YEAR(Z20),12,31)-DATE(YEAR(Z20),1,1)+1),(DATE(YEAR(Z20)+1,1,1)-Z20)/(DATE(YEAR(Z20),12,31)-DATE(YEAR(Z20),1,1)+1)+(AA20-DATE(YEAR(AA20),1,1))/(DATE(YEAR(AA20),12,31)-DATE(YEAR(AA20),1,1)+1)),2))</f>
        <v/>
      </c>
      <c r="AC20" s="46" t="str">
        <f>IF(Z20="","",ROUND(AC19+AB20+IF(AA20&lt;'Навигатор накоплений'!F25,N('Навигатор накоплений'!G25),0),2))</f>
        <v/>
      </c>
      <c r="AE20" t="str">
        <f>IF('Навигатор накоплений'!A26="","",IF(14&lt;=DATEDIF('Навигатор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накоплений'!F26,1,0),AF19,""))</f>
        <v/>
      </c>
      <c r="AF20" t="str">
        <f>IF(AE20="","",MIN(EDATE('Навигатор накоплений'!E26,14),'Навигатор накоплений'!F26))</f>
        <v/>
      </c>
      <c r="AG20" t="str">
        <f>IF(AE20="","",ROUND(AH19*'Навигатор накоплений'!D26*IF(YEAR(AE20)=YEAR(AF20-1),(AF20-AE20)/(DATE(YEAR(AE20),12,31)-DATE(YEAR(AE20),1,1)+1),(DATE(YEAR(AE20)+1,1,1)-AE20)/(DATE(YEAR(AE20),12,31)-DATE(YEAR(AE20),1,1)+1)+(AF20-DATE(YEAR(AF20),1,1))/(DATE(YEAR(AF20),12,31)-DATE(YEAR(AF20),1,1)+1)),2))</f>
        <v/>
      </c>
      <c r="AH20" t="str">
        <f>IF(AE20="","",ROUND(AH19+AG20+IF(AF20&lt;'Навигатор накоплений'!F26,N('Навигатор накоплений'!G26),0),2))</f>
        <v/>
      </c>
      <c r="AJ20" t="str">
        <f>IF('Навигатор накоплений'!A27="","",IF(14&lt;=DATEDIF('Навигатор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накоплений'!F27,1,0),AK19,""))</f>
        <v/>
      </c>
      <c r="AK20" t="str">
        <f>IF(AJ20="","",MIN(EDATE('Навигатор накоплений'!E27,14),'Навигатор накоплений'!F27))</f>
        <v/>
      </c>
      <c r="AL20" t="str">
        <f>IF(AJ20="","",ROUND(AM19*'Навигатор накоплений'!D27*IF(YEAR(AJ20)=YEAR(AK20-1),(AK20-AJ20)/(DATE(YEAR(AJ20),12,31)-DATE(YEAR(AJ20),1,1)+1),(DATE(YEAR(AJ20)+1,1,1)-AJ20)/(DATE(YEAR(AJ20),12,31)-DATE(YEAR(AJ20),1,1)+1)+(AK20-DATE(YEAR(AK20),1,1))/(DATE(YEAR(AK20),12,31)-DATE(YEAR(AK20),1,1)+1)),2))</f>
        <v/>
      </c>
      <c r="AM20" t="str">
        <f>IF(AJ20="","",ROUND(AM19+AL20+IF(AK20&lt;'Навигатор накоплений'!F27,N('Навигатор накоплений'!G27),0),2))</f>
        <v/>
      </c>
      <c r="AO20" t="str">
        <f>IF('Навигатор накоплений'!A28="","",IF(14&lt;=DATEDIF('Навигатор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накоплений'!F28,1,0),AP19,""))</f>
        <v/>
      </c>
      <c r="AP20" t="str">
        <f>IF(AO20="","",MIN(EDATE('Навигатор накоплений'!E28,14),'Навигатор накоплений'!F28))</f>
        <v/>
      </c>
      <c r="AQ20" t="str">
        <f>IF(AO20="","",ROUND(AR19*'Навигатор накоплений'!D28*IF(YEAR(AO20)=YEAR(AP20-1),(AP20-AO20)/(DATE(YEAR(AO20),12,31)-DATE(YEAR(AO20),1,1)+1),(DATE(YEAR(AO20)+1,1,1)-AO20)/(DATE(YEAR(AO20),12,31)-DATE(YEAR(AO20),1,1)+1)+(AP20-DATE(YEAR(AP20),1,1))/(DATE(YEAR(AP20),12,31)-DATE(YEAR(AP20),1,1)+1)),2))</f>
        <v/>
      </c>
      <c r="AR20" t="str">
        <f>IF(AO20="","",ROUND(AR19+AQ20+IF(AP20&lt;'Навигатор накоплений'!F28,N('Навигатор накоплений'!G28),0),2))</f>
        <v/>
      </c>
      <c r="AT20">
        <f t="shared" si="0"/>
        <v>0</v>
      </c>
      <c r="AU20">
        <f t="shared" si="1"/>
        <v>0</v>
      </c>
      <c r="AV20">
        <f t="shared" si="2"/>
        <v>0</v>
      </c>
      <c r="AW20">
        <f t="shared" si="3"/>
        <v>0</v>
      </c>
      <c r="AX20">
        <f t="shared" si="4"/>
        <v>0</v>
      </c>
      <c r="AY20">
        <f t="shared" si="5"/>
        <v>0</v>
      </c>
      <c r="AZ20">
        <f t="shared" si="6"/>
        <v>0</v>
      </c>
      <c r="BA20"/>
      <c r="BB20"/>
      <c r="BD20"/>
      <c r="BE20"/>
      <c r="BF20"/>
      <c r="BG20"/>
    </row>
    <row r="21" spans="1:59" ht="15" x14ac:dyDescent="0.2">
      <c r="A21" s="43">
        <v>12</v>
      </c>
      <c r="B21" s="45" t="str">
        <f>IF('Навигатор накоплений'!A31="","",EDATE('Навигатор накоплений'!C31,A21-1))</f>
        <v/>
      </c>
      <c r="C21" s="45" t="str">
        <f>IF(B21="","",EDATE('Навигатор накоплений'!C31,A21))</f>
        <v/>
      </c>
      <c r="D21" s="46" t="str">
        <f t="shared" si="15"/>
        <v/>
      </c>
      <c r="E21" s="46" t="str">
        <f>IF(B21="","",N('Навигатор накоплений'!G31))</f>
        <v/>
      </c>
      <c r="F21" s="46" t="str">
        <f>IF(B21="","",IF('Навигатор накоплений'!F31="Ежедневный остаток",D21+E21,D21))</f>
        <v/>
      </c>
      <c r="G21" s="48" t="str">
        <f t="shared" si="13"/>
        <v/>
      </c>
      <c r="H21" s="46" t="str">
        <f>IF(B21="","",ROUND(F21*'Навигатор накоплений'!E31*IF(YEAR(B21)=YEAR(C21-1),(C21-B21)/(DATE(YEAR(B21),12,31)-DATE(YEAR(B21),1,1)+1),(DATE(YEAR(B21)+1,1,1)-B21)/(DATE(YEAR(B21),12,31)-DATE(YEAR(B21),1,1)+1)+(C21-DATE(YEAR(C21),1,1))/(DATE(YEAR(C21),12,31)-DATE(YEAR(C21),1,1)+1)),2))</f>
        <v/>
      </c>
      <c r="I21" s="46" t="str">
        <f t="shared" si="14"/>
        <v/>
      </c>
      <c r="K21" s="45" t="str">
        <f>IF('Навигатор накоплений'!A22="","",IF(15&lt;=DATEDIF('Навигатор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накоплений'!F22,1,0),L20,""))</f>
        <v/>
      </c>
      <c r="L21" s="45" t="str">
        <f>IF(K21="","",MIN(EDATE('Навигатор накоплений'!E22,15),'Навигатор накоплений'!F22))</f>
        <v/>
      </c>
      <c r="M21" s="46" t="str">
        <f>IF(K21="","",ROUND(N20*'Навигатор накоплений'!D22*IF(YEAR(K21)=YEAR(L21-1),(L21-K21)/(DATE(YEAR(K21),12,31)-DATE(YEAR(K21),1,1)+1),(DATE(YEAR(K21)+1,1,1)-K21)/(DATE(YEAR(K21),12,31)-DATE(YEAR(K21),1,1)+1)+(L21-DATE(YEAR(L21),1,1))/(DATE(YEAR(L21),12,31)-DATE(YEAR(L21),1,1)+1)),2))</f>
        <v/>
      </c>
      <c r="N21" s="46" t="str">
        <f>IF(K21="","",ROUND(N20+M21+IF(L21&lt;'Навигатор накоплений'!F22,N('Навигатор накоплений'!G22),0),2))</f>
        <v/>
      </c>
      <c r="P21" s="45" t="str">
        <f>IF('Навигатор накоплений'!A23="","",IF(15&lt;=DATEDIF('Навигатор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накоплений'!F23,1,0),Q20,""))</f>
        <v/>
      </c>
      <c r="Q21" s="45" t="str">
        <f>IF(P21="","",MIN(EDATE('Навигатор накоплений'!E23,15),'Навигатор накоплений'!F23))</f>
        <v/>
      </c>
      <c r="R21" s="46" t="str">
        <f>IF(P21="","",ROUND(S20*'Навигатор накоплений'!D23*IF(YEAR(P21)=YEAR(Q21-1),(Q21-P21)/(DATE(YEAR(P21),12,31)-DATE(YEAR(P21),1,1)+1),(DATE(YEAR(P21)+1,1,1)-P21)/(DATE(YEAR(P21),12,31)-DATE(YEAR(P21),1,1)+1)+(Q21-DATE(YEAR(Q21),1,1))/(DATE(YEAR(Q21),12,31)-DATE(YEAR(Q21),1,1)+1)),2))</f>
        <v/>
      </c>
      <c r="S21" s="46" t="str">
        <f>IF(P21="","",ROUND(S20+R21+IF(Q21&lt;'Навигатор накоплений'!F23,N('Навигатор накоплений'!G23),0),2))</f>
        <v/>
      </c>
      <c r="U21" s="45" t="str">
        <f>IF('Навигатор накоплений'!A24="","",IF(15&lt;=DATEDIF('Навигатор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накоплений'!F24,1,0),V20,""))</f>
        <v/>
      </c>
      <c r="V21" s="45" t="str">
        <f>IF(U21="","",MIN(EDATE('Навигатор накоплений'!E24,15),'Навигатор накоплений'!F24))</f>
        <v/>
      </c>
      <c r="W21" s="46" t="str">
        <f>IF(U21="","",ROUND(X20*'Навигатор накоплений'!D24*IF(YEAR(U21)=YEAR(V21-1),(V21-U21)/(DATE(YEAR(U21),12,31)-DATE(YEAR(U21),1,1)+1),(DATE(YEAR(U21)+1,1,1)-U21)/(DATE(YEAR(U21),12,31)-DATE(YEAR(U21),1,1)+1)+(V21-DATE(YEAR(V21),1,1))/(DATE(YEAR(V21),12,31)-DATE(YEAR(V21),1,1)+1)),2))</f>
        <v/>
      </c>
      <c r="X21" s="46" t="str">
        <f>IF(U21="","",ROUND(X20+W21+IF(V21&lt;'Навигатор накоплений'!F24,N('Навигатор накоплений'!G24),0),2))</f>
        <v/>
      </c>
      <c r="Z21" s="45" t="str">
        <f>IF('Навигатор накоплений'!A25="","",IF(15&lt;=DATEDIF('Навигатор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накоплений'!F25,1,0),AA20,""))</f>
        <v/>
      </c>
      <c r="AA21" s="45" t="str">
        <f>IF(Z21="","",MIN(EDATE('Навигатор накоплений'!E25,15),'Навигатор накоплений'!F25))</f>
        <v/>
      </c>
      <c r="AB21" s="46" t="str">
        <f>IF(Z21="","",ROUND(AC20*'Навигатор накоплений'!D25*IF(YEAR(Z21)=YEAR(AA21-1),(AA21-Z21)/(DATE(YEAR(Z21),12,31)-DATE(YEAR(Z21),1,1)+1),(DATE(YEAR(Z21)+1,1,1)-Z21)/(DATE(YEAR(Z21),12,31)-DATE(YEAR(Z21),1,1)+1)+(AA21-DATE(YEAR(AA21),1,1))/(DATE(YEAR(AA21),12,31)-DATE(YEAR(AA21),1,1)+1)),2))</f>
        <v/>
      </c>
      <c r="AC21" s="46" t="str">
        <f>IF(Z21="","",ROUND(AC20+AB21+IF(AA21&lt;'Навигатор накоплений'!F25,N('Навигатор накоплений'!G25),0),2))</f>
        <v/>
      </c>
      <c r="AE21" t="str">
        <f>IF('Навигатор накоплений'!A26="","",IF(15&lt;=DATEDIF('Навигатор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накоплений'!F26,1,0),AF20,""))</f>
        <v/>
      </c>
      <c r="AF21" t="str">
        <f>IF(AE21="","",MIN(EDATE('Навигатор накоплений'!E26,15),'Навигатор накоплений'!F26))</f>
        <v/>
      </c>
      <c r="AG21" t="str">
        <f>IF(AE21="","",ROUND(AH20*'Навигатор накоплений'!D26*IF(YEAR(AE21)=YEAR(AF21-1),(AF21-AE21)/(DATE(YEAR(AE21),12,31)-DATE(YEAR(AE21),1,1)+1),(DATE(YEAR(AE21)+1,1,1)-AE21)/(DATE(YEAR(AE21),12,31)-DATE(YEAR(AE21),1,1)+1)+(AF21-DATE(YEAR(AF21),1,1))/(DATE(YEAR(AF21),12,31)-DATE(YEAR(AF21),1,1)+1)),2))</f>
        <v/>
      </c>
      <c r="AH21" t="str">
        <f>IF(AE21="","",ROUND(AH20+AG21+IF(AF21&lt;'Навигатор накоплений'!F26,N('Навигатор накоплений'!G26),0),2))</f>
        <v/>
      </c>
      <c r="AJ21" t="str">
        <f>IF('Навигатор накоплений'!A27="","",IF(15&lt;=DATEDIF('Навигатор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накоплений'!F27,1,0),AK20,""))</f>
        <v/>
      </c>
      <c r="AK21" t="str">
        <f>IF(AJ21="","",MIN(EDATE('Навигатор накоплений'!E27,15),'Навигатор накоплений'!F27))</f>
        <v/>
      </c>
      <c r="AL21" t="str">
        <f>IF(AJ21="","",ROUND(AM20*'Навигатор накоплений'!D27*IF(YEAR(AJ21)=YEAR(AK21-1),(AK21-AJ21)/(DATE(YEAR(AJ21),12,31)-DATE(YEAR(AJ21),1,1)+1),(DATE(YEAR(AJ21)+1,1,1)-AJ21)/(DATE(YEAR(AJ21),12,31)-DATE(YEAR(AJ21),1,1)+1)+(AK21-DATE(YEAR(AK21),1,1))/(DATE(YEAR(AK21),12,31)-DATE(YEAR(AK21),1,1)+1)),2))</f>
        <v/>
      </c>
      <c r="AM21" t="str">
        <f>IF(AJ21="","",ROUND(AM20+AL21+IF(AK21&lt;'Навигатор накоплений'!F27,N('Навигатор накоплений'!G27),0),2))</f>
        <v/>
      </c>
      <c r="AO21" t="str">
        <f>IF('Навигатор накоплений'!A28="","",IF(15&lt;=DATEDIF('Навигатор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накоплений'!F28,1,0),AP20,""))</f>
        <v/>
      </c>
      <c r="AP21" t="str">
        <f>IF(AO21="","",MIN(EDATE('Навигатор накоплений'!E28,15),'Навигатор накоплений'!F28))</f>
        <v/>
      </c>
      <c r="AQ21" t="str">
        <f>IF(AO21="","",ROUND(AR20*'Навигатор накоплений'!D28*IF(YEAR(AO21)=YEAR(AP21-1),(AP21-AO21)/(DATE(YEAR(AO21),12,31)-DATE(YEAR(AO21),1,1)+1),(DATE(YEAR(AO21)+1,1,1)-AO21)/(DATE(YEAR(AO21),12,31)-DATE(YEAR(AO21),1,1)+1)+(AP21-DATE(YEAR(AP21),1,1))/(DATE(YEAR(AP21),12,31)-DATE(YEAR(AP21),1,1)+1)),2))</f>
        <v/>
      </c>
      <c r="AR21" t="str">
        <f>IF(AO21="","",ROUND(AR20+AQ21+IF(AP21&lt;'Навигатор накоплений'!F28,N('Навигатор накоплений'!G28),0),2))</f>
        <v/>
      </c>
      <c r="AT21">
        <f t="shared" si="0"/>
        <v>0</v>
      </c>
      <c r="AU21">
        <f t="shared" si="1"/>
        <v>0</v>
      </c>
      <c r="AV21">
        <f t="shared" si="2"/>
        <v>0</v>
      </c>
      <c r="AW21">
        <f t="shared" si="3"/>
        <v>0</v>
      </c>
      <c r="AX21">
        <f t="shared" si="4"/>
        <v>0</v>
      </c>
      <c r="AY21">
        <f t="shared" si="5"/>
        <v>0</v>
      </c>
      <c r="AZ21">
        <f t="shared" si="6"/>
        <v>0</v>
      </c>
      <c r="BA21"/>
      <c r="BB21"/>
      <c r="BD21"/>
      <c r="BE21"/>
      <c r="BF21"/>
      <c r="BG21"/>
    </row>
    <row r="22" spans="1:59" ht="15" x14ac:dyDescent="0.2">
      <c r="A22" s="105" t="s">
        <v>58</v>
      </c>
      <c r="B22" s="105"/>
      <c r="C22" s="105"/>
      <c r="D22" s="106"/>
      <c r="E22" s="49">
        <f>SUM(E10:E21)</f>
        <v>0</v>
      </c>
      <c r="F22" s="49" t="s">
        <v>59</v>
      </c>
      <c r="G22" s="50">
        <f>SUM(G10:G21)</f>
        <v>0</v>
      </c>
      <c r="H22" s="49" t="str">
        <f>IF('Навигатор накоплений'!A31="","",SUM(H10:H21))</f>
        <v/>
      </c>
      <c r="I22" s="49" t="str">
        <f>IF('Навигатор накоплений'!A31="","",I21)</f>
        <v/>
      </c>
      <c r="K22" s="45" t="str">
        <f>IF('Навигатор накоплений'!A22="","",IF(16&lt;=DATEDIF('Навигатор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накоплений'!F22,1,0),L21,""))</f>
        <v/>
      </c>
      <c r="L22" s="45" t="str">
        <f>IF(K22="","",MIN(EDATE('Навигатор накоплений'!E22,16),'Навигатор накоплений'!F22))</f>
        <v/>
      </c>
      <c r="M22" s="46" t="str">
        <f>IF(K22="","",ROUND(N21*'Навигатор накоплений'!D22*IF(YEAR(K22)=YEAR(L22-1),(L22-K22)/(DATE(YEAR(K22),12,31)-DATE(YEAR(K22),1,1)+1),(DATE(YEAR(K22)+1,1,1)-K22)/(DATE(YEAR(K22),12,31)-DATE(YEAR(K22),1,1)+1)+(L22-DATE(YEAR(L22),1,1))/(DATE(YEAR(L22),12,31)-DATE(YEAR(L22),1,1)+1)),2))</f>
        <v/>
      </c>
      <c r="N22" s="46" t="str">
        <f>IF(K22="","",ROUND(N21+M22+IF(L22&lt;'Навигатор накоплений'!F22,N('Навигатор накоплений'!G22),0),2))</f>
        <v/>
      </c>
      <c r="P22" s="45" t="str">
        <f>IF('Навигатор накоплений'!A23="","",IF(16&lt;=DATEDIF('Навигатор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накоплений'!F23,1,0),Q21,""))</f>
        <v/>
      </c>
      <c r="Q22" s="45" t="str">
        <f>IF(P22="","",MIN(EDATE('Навигатор накоплений'!E23,16),'Навигатор накоплений'!F23))</f>
        <v/>
      </c>
      <c r="R22" s="46" t="str">
        <f>IF(P22="","",ROUND(S21*'Навигатор накоплений'!D23*IF(YEAR(P22)=YEAR(Q22-1),(Q22-P22)/(DATE(YEAR(P22),12,31)-DATE(YEAR(P22),1,1)+1),(DATE(YEAR(P22)+1,1,1)-P22)/(DATE(YEAR(P22),12,31)-DATE(YEAR(P22),1,1)+1)+(Q22-DATE(YEAR(Q22),1,1))/(DATE(YEAR(Q22),12,31)-DATE(YEAR(Q22),1,1)+1)),2))</f>
        <v/>
      </c>
      <c r="S22" s="46" t="str">
        <f>IF(P22="","",ROUND(S21+R22+IF(Q22&lt;'Навигатор накоплений'!F23,N('Навигатор накоплений'!G23),0),2))</f>
        <v/>
      </c>
      <c r="U22" s="45" t="str">
        <f>IF('Навигатор накоплений'!A24="","",IF(16&lt;=DATEDIF('Навигатор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накоплений'!F24,1,0),V21,""))</f>
        <v/>
      </c>
      <c r="V22" s="45" t="str">
        <f>IF(U22="","",MIN(EDATE('Навигатор накоплений'!E24,16),'Навигатор накоплений'!F24))</f>
        <v/>
      </c>
      <c r="W22" s="46" t="str">
        <f>IF(U22="","",ROUND(X21*'Навигатор накоплений'!D24*IF(YEAR(U22)=YEAR(V22-1),(V22-U22)/(DATE(YEAR(U22),12,31)-DATE(YEAR(U22),1,1)+1),(DATE(YEAR(U22)+1,1,1)-U22)/(DATE(YEAR(U22),12,31)-DATE(YEAR(U22),1,1)+1)+(V22-DATE(YEAR(V22),1,1))/(DATE(YEAR(V22),12,31)-DATE(YEAR(V22),1,1)+1)),2))</f>
        <v/>
      </c>
      <c r="X22" s="46" t="str">
        <f>IF(U22="","",ROUND(X21+W22+IF(V22&lt;'Навигатор накоплений'!F24,N('Навигатор накоплений'!G24),0),2))</f>
        <v/>
      </c>
      <c r="Z22" s="45" t="str">
        <f>IF('Навигатор накоплений'!A25="","",IF(16&lt;=DATEDIF('Навигатор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накоплений'!F25,1,0),AA21,""))</f>
        <v/>
      </c>
      <c r="AA22" s="45" t="str">
        <f>IF(Z22="","",MIN(EDATE('Навигатор накоплений'!E25,16),'Навигатор накоплений'!F25))</f>
        <v/>
      </c>
      <c r="AB22" s="46" t="str">
        <f>IF(Z22="","",ROUND(AC21*'Навигатор накоплений'!D25*IF(YEAR(Z22)=YEAR(AA22-1),(AA22-Z22)/(DATE(YEAR(Z22),12,31)-DATE(YEAR(Z22),1,1)+1),(DATE(YEAR(Z22)+1,1,1)-Z22)/(DATE(YEAR(Z22),12,31)-DATE(YEAR(Z22),1,1)+1)+(AA22-DATE(YEAR(AA22),1,1))/(DATE(YEAR(AA22),12,31)-DATE(YEAR(AA22),1,1)+1)),2))</f>
        <v/>
      </c>
      <c r="AC22" s="46" t="str">
        <f>IF(Z22="","",ROUND(AC21+AB22+IF(AA22&lt;'Навигатор накоплений'!F25,N('Навигатор накоплений'!G25),0),2))</f>
        <v/>
      </c>
      <c r="AE22" t="str">
        <f>IF('Навигатор накоплений'!A26="","",IF(16&lt;=DATEDIF('Навигатор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накоплений'!F26,1,0),AF21,""))</f>
        <v/>
      </c>
      <c r="AF22" t="str">
        <f>IF(AE22="","",MIN(EDATE('Навигатор накоплений'!E26,16),'Навигатор накоплений'!F26))</f>
        <v/>
      </c>
      <c r="AG22" t="str">
        <f>IF(AE22="","",ROUND(AH21*'Навигатор накоплений'!D26*IF(YEAR(AE22)=YEAR(AF22-1),(AF22-AE22)/(DATE(YEAR(AE22),12,31)-DATE(YEAR(AE22),1,1)+1),(DATE(YEAR(AE22)+1,1,1)-AE22)/(DATE(YEAR(AE22),12,31)-DATE(YEAR(AE22),1,1)+1)+(AF22-DATE(YEAR(AF22),1,1))/(DATE(YEAR(AF22),12,31)-DATE(YEAR(AF22),1,1)+1)),2))</f>
        <v/>
      </c>
      <c r="AH22" t="str">
        <f>IF(AE22="","",ROUND(AH21+AG22+IF(AF22&lt;'Навигатор накоплений'!F26,N('Навигатор накоплений'!G26),0),2))</f>
        <v/>
      </c>
      <c r="AJ22" t="str">
        <f>IF('Навигатор накоплений'!A27="","",IF(16&lt;=DATEDIF('Навигатор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накоплений'!F27,1,0),AK21,""))</f>
        <v/>
      </c>
      <c r="AK22" t="str">
        <f>IF(AJ22="","",MIN(EDATE('Навигатор накоплений'!E27,16),'Навигатор накоплений'!F27))</f>
        <v/>
      </c>
      <c r="AL22" t="str">
        <f>IF(AJ22="","",ROUND(AM21*'Навигатор накоплений'!D27*IF(YEAR(AJ22)=YEAR(AK22-1),(AK22-AJ22)/(DATE(YEAR(AJ22),12,31)-DATE(YEAR(AJ22),1,1)+1),(DATE(YEAR(AJ22)+1,1,1)-AJ22)/(DATE(YEAR(AJ22),12,31)-DATE(YEAR(AJ22),1,1)+1)+(AK22-DATE(YEAR(AK22),1,1))/(DATE(YEAR(AK22),12,31)-DATE(YEAR(AK22),1,1)+1)),2))</f>
        <v/>
      </c>
      <c r="AM22" t="str">
        <f>IF(AJ22="","",ROUND(AM21+AL22+IF(AK22&lt;'Навигатор накоплений'!F27,N('Навигатор накоплений'!G27),0),2))</f>
        <v/>
      </c>
      <c r="AO22" t="str">
        <f>IF('Навигатор накоплений'!A28="","",IF(16&lt;=DATEDIF('Навигатор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накоплений'!F28,1,0),AP21,""))</f>
        <v/>
      </c>
      <c r="AP22" t="str">
        <f>IF(AO22="","",MIN(EDATE('Навигатор накоплений'!E28,16),'Навигатор накоплений'!F28))</f>
        <v/>
      </c>
      <c r="AQ22" t="str">
        <f>IF(AO22="","",ROUND(AR21*'Навигатор накоплений'!D28*IF(YEAR(AO22)=YEAR(AP22-1),(AP22-AO22)/(DATE(YEAR(AO22),12,31)-DATE(YEAR(AO22),1,1)+1),(DATE(YEAR(AO22)+1,1,1)-AO22)/(DATE(YEAR(AO22),12,31)-DATE(YEAR(AO22),1,1)+1)+(AP22-DATE(YEAR(AP22),1,1))/(DATE(YEAR(AP22),12,31)-DATE(YEAR(AP22),1,1)+1)),2))</f>
        <v/>
      </c>
      <c r="AR22" t="str">
        <f>IF(AO22="","",ROUND(AR21+AQ22+IF(AP22&lt;'Навигатор накоплений'!F28,N('Навигатор накоплений'!G28),0),2))</f>
        <v/>
      </c>
      <c r="AT22">
        <f t="shared" si="0"/>
        <v>0</v>
      </c>
      <c r="AU22">
        <f t="shared" si="1"/>
        <v>0</v>
      </c>
      <c r="AV22">
        <f t="shared" si="2"/>
        <v>0</v>
      </c>
      <c r="AW22">
        <f t="shared" si="3"/>
        <v>0</v>
      </c>
      <c r="AX22">
        <f t="shared" si="4"/>
        <v>0</v>
      </c>
      <c r="AY22">
        <f t="shared" si="5"/>
        <v>0</v>
      </c>
      <c r="AZ22">
        <f t="shared" si="6"/>
        <v>0</v>
      </c>
      <c r="BA22"/>
      <c r="BB22"/>
      <c r="BD22"/>
      <c r="BE22"/>
      <c r="BF22"/>
      <c r="BG22"/>
    </row>
    <row r="23" spans="1:59" ht="15" x14ac:dyDescent="0.2">
      <c r="K23" s="45" t="str">
        <f>IF('Навигатор накоплений'!A22="","",IF(17&lt;=DATEDIF('Навигатор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накоплений'!F22,1,0),L22,""))</f>
        <v/>
      </c>
      <c r="L23" s="45" t="str">
        <f>IF(K23="","",MIN(EDATE('Навигатор накоплений'!E22,17),'Навигатор накоплений'!F22))</f>
        <v/>
      </c>
      <c r="M23" s="46" t="str">
        <f>IF(K23="","",ROUND(N22*'Навигатор накоплений'!D22*IF(YEAR(K23)=YEAR(L23-1),(L23-K23)/(DATE(YEAR(K23),12,31)-DATE(YEAR(K23),1,1)+1),(DATE(YEAR(K23)+1,1,1)-K23)/(DATE(YEAR(K23),12,31)-DATE(YEAR(K23),1,1)+1)+(L23-DATE(YEAR(L23),1,1))/(DATE(YEAR(L23),12,31)-DATE(YEAR(L23),1,1)+1)),2))</f>
        <v/>
      </c>
      <c r="N23" s="46" t="str">
        <f>IF(K23="","",ROUND(N22+M23+IF(L23&lt;'Навигатор накоплений'!F22,N('Навигатор накоплений'!G22),0),2))</f>
        <v/>
      </c>
      <c r="P23" s="45" t="str">
        <f>IF('Навигатор накоплений'!A23="","",IF(17&lt;=DATEDIF('Навигатор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накоплений'!F23,1,0),Q22,""))</f>
        <v/>
      </c>
      <c r="Q23" s="45" t="str">
        <f>IF(P23="","",MIN(EDATE('Навигатор накоплений'!E23,17),'Навигатор накоплений'!F23))</f>
        <v/>
      </c>
      <c r="R23" s="46" t="str">
        <f>IF(P23="","",ROUND(S22*'Навигатор накоплений'!D23*IF(YEAR(P23)=YEAR(Q23-1),(Q23-P23)/(DATE(YEAR(P23),12,31)-DATE(YEAR(P23),1,1)+1),(DATE(YEAR(P23)+1,1,1)-P23)/(DATE(YEAR(P23),12,31)-DATE(YEAR(P23),1,1)+1)+(Q23-DATE(YEAR(Q23),1,1))/(DATE(YEAR(Q23),12,31)-DATE(YEAR(Q23),1,1)+1)),2))</f>
        <v/>
      </c>
      <c r="S23" s="46" t="str">
        <f>IF(P23="","",ROUND(S22+R23+IF(Q23&lt;'Навигатор накоплений'!F23,N('Навигатор накоплений'!G23),0),2))</f>
        <v/>
      </c>
      <c r="U23" s="45" t="str">
        <f>IF('Навигатор накоплений'!A24="","",IF(17&lt;=DATEDIF('Навигатор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накоплений'!F24,1,0),V22,""))</f>
        <v/>
      </c>
      <c r="V23" s="45" t="str">
        <f>IF(U23="","",MIN(EDATE('Навигатор накоплений'!E24,17),'Навигатор накоплений'!F24))</f>
        <v/>
      </c>
      <c r="W23" s="46" t="str">
        <f>IF(U23="","",ROUND(X22*'Навигатор накоплений'!D24*IF(YEAR(U23)=YEAR(V23-1),(V23-U23)/(DATE(YEAR(U23),12,31)-DATE(YEAR(U23),1,1)+1),(DATE(YEAR(U23)+1,1,1)-U23)/(DATE(YEAR(U23),12,31)-DATE(YEAR(U23),1,1)+1)+(V23-DATE(YEAR(V23),1,1))/(DATE(YEAR(V23),12,31)-DATE(YEAR(V23),1,1)+1)),2))</f>
        <v/>
      </c>
      <c r="X23" s="46" t="str">
        <f>IF(U23="","",ROUND(X22+W23+IF(V23&lt;'Навигатор накоплений'!F24,N('Навигатор накоплений'!G24),0),2))</f>
        <v/>
      </c>
      <c r="Z23" s="45" t="str">
        <f>IF('Навигатор накоплений'!A25="","",IF(17&lt;=DATEDIF('Навигатор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накоплений'!F25,1,0),AA22,""))</f>
        <v/>
      </c>
      <c r="AA23" s="45" t="str">
        <f>IF(Z23="","",MIN(EDATE('Навигатор накоплений'!E25,17),'Навигатор накоплений'!F25))</f>
        <v/>
      </c>
      <c r="AB23" s="46" t="str">
        <f>IF(Z23="","",ROUND(AC22*'Навигатор накоплений'!D25*IF(YEAR(Z23)=YEAR(AA23-1),(AA23-Z23)/(DATE(YEAR(Z23),12,31)-DATE(YEAR(Z23),1,1)+1),(DATE(YEAR(Z23)+1,1,1)-Z23)/(DATE(YEAR(Z23),12,31)-DATE(YEAR(Z23),1,1)+1)+(AA23-DATE(YEAR(AA23),1,1))/(DATE(YEAR(AA23),12,31)-DATE(YEAR(AA23),1,1)+1)),2))</f>
        <v/>
      </c>
      <c r="AC23" s="46" t="str">
        <f>IF(Z23="","",ROUND(AC22+AB23+IF(AA23&lt;'Навигатор накоплений'!F25,N('Навигатор накоплений'!G25),0),2))</f>
        <v/>
      </c>
      <c r="AE23" t="str">
        <f>IF('Навигатор накоплений'!A26="","",IF(17&lt;=DATEDIF('Навигатор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накоплений'!F26,1,0),AF22,""))</f>
        <v/>
      </c>
      <c r="AF23" t="str">
        <f>IF(AE23="","",MIN(EDATE('Навигатор накоплений'!E26,17),'Навигатор накоплений'!F26))</f>
        <v/>
      </c>
      <c r="AG23" t="str">
        <f>IF(AE23="","",ROUND(AH22*'Навигатор накоплений'!D26*IF(YEAR(AE23)=YEAR(AF23-1),(AF23-AE23)/(DATE(YEAR(AE23),12,31)-DATE(YEAR(AE23),1,1)+1),(DATE(YEAR(AE23)+1,1,1)-AE23)/(DATE(YEAR(AE23),12,31)-DATE(YEAR(AE23),1,1)+1)+(AF23-DATE(YEAR(AF23),1,1))/(DATE(YEAR(AF23),12,31)-DATE(YEAR(AF23),1,1)+1)),2))</f>
        <v/>
      </c>
      <c r="AH23" t="str">
        <f>IF(AE23="","",ROUND(AH22+AG23+IF(AF23&lt;'Навигатор накоплений'!F26,N('Навигатор накоплений'!G26),0),2))</f>
        <v/>
      </c>
      <c r="AJ23" t="str">
        <f>IF('Навигатор накоплений'!A27="","",IF(17&lt;=DATEDIF('Навигатор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накоплений'!F27,1,0),AK22,""))</f>
        <v/>
      </c>
      <c r="AK23" t="str">
        <f>IF(AJ23="","",MIN(EDATE('Навигатор накоплений'!E27,17),'Навигатор накоплений'!F27))</f>
        <v/>
      </c>
      <c r="AL23" t="str">
        <f>IF(AJ23="","",ROUND(AM22*'Навигатор накоплений'!D27*IF(YEAR(AJ23)=YEAR(AK23-1),(AK23-AJ23)/(DATE(YEAR(AJ23),12,31)-DATE(YEAR(AJ23),1,1)+1),(DATE(YEAR(AJ23)+1,1,1)-AJ23)/(DATE(YEAR(AJ23),12,31)-DATE(YEAR(AJ23),1,1)+1)+(AK23-DATE(YEAR(AK23),1,1))/(DATE(YEAR(AK23),12,31)-DATE(YEAR(AK23),1,1)+1)),2))</f>
        <v/>
      </c>
      <c r="AM23" t="str">
        <f>IF(AJ23="","",ROUND(AM22+AL23+IF(AK23&lt;'Навигатор накоплений'!F27,N('Навигатор накоплений'!G27),0),2))</f>
        <v/>
      </c>
      <c r="AO23" t="str">
        <f>IF('Навигатор накоплений'!A28="","",IF(17&lt;=DATEDIF('Навигатор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накоплений'!F28,1,0),AP22,""))</f>
        <v/>
      </c>
      <c r="AP23" t="str">
        <f>IF(AO23="","",MIN(EDATE('Навигатор накоплений'!E28,17),'Навигатор накоплений'!F28))</f>
        <v/>
      </c>
      <c r="AQ23" t="str">
        <f>IF(AO23="","",ROUND(AR22*'Навигатор накоплений'!D28*IF(YEAR(AO23)=YEAR(AP23-1),(AP23-AO23)/(DATE(YEAR(AO23),12,31)-DATE(YEAR(AO23),1,1)+1),(DATE(YEAR(AO23)+1,1,1)-AO23)/(DATE(YEAR(AO23),12,31)-DATE(YEAR(AO23),1,1)+1)+(AP23-DATE(YEAR(AP23),1,1))/(DATE(YEAR(AP23),12,31)-DATE(YEAR(AP23),1,1)+1)),2))</f>
        <v/>
      </c>
      <c r="AR23" t="str">
        <f>IF(AO23="","",ROUND(AR22+AQ23+IF(AP23&lt;'Навигатор накоплений'!F28,N('Навигатор накоплений'!G28),0),2))</f>
        <v/>
      </c>
      <c r="AT23">
        <f t="shared" si="0"/>
        <v>0</v>
      </c>
      <c r="AU23">
        <f t="shared" si="1"/>
        <v>0</v>
      </c>
      <c r="AV23">
        <f t="shared" si="2"/>
        <v>0</v>
      </c>
      <c r="AW23">
        <f t="shared" si="3"/>
        <v>0</v>
      </c>
      <c r="AX23">
        <f t="shared" si="4"/>
        <v>0</v>
      </c>
      <c r="AY23">
        <f t="shared" si="5"/>
        <v>0</v>
      </c>
      <c r="AZ23">
        <f t="shared" si="6"/>
        <v>0</v>
      </c>
      <c r="BA23"/>
      <c r="BB23"/>
      <c r="BD23"/>
      <c r="BE23"/>
      <c r="BF23"/>
      <c r="BG23"/>
    </row>
    <row r="24" spans="1:59" ht="15" x14ac:dyDescent="0.2">
      <c r="K24" s="45" t="str">
        <f>IF('Навигатор накоплений'!A22="","",IF(18&lt;=DATEDIF('Навигатор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накоплений'!F22,1,0),L23,""))</f>
        <v/>
      </c>
      <c r="L24" s="45" t="str">
        <f>IF(K24="","",MIN(EDATE('Навигатор накоплений'!E22,18),'Навигатор накоплений'!F22))</f>
        <v/>
      </c>
      <c r="M24" s="46" t="str">
        <f>IF(K24="","",ROUND(N23*'Навигатор накоплений'!D22*IF(YEAR(K24)=YEAR(L24-1),(L24-K24)/(DATE(YEAR(K24),12,31)-DATE(YEAR(K24),1,1)+1),(DATE(YEAR(K24)+1,1,1)-K24)/(DATE(YEAR(K24),12,31)-DATE(YEAR(K24),1,1)+1)+(L24-DATE(YEAR(L24),1,1))/(DATE(YEAR(L24),12,31)-DATE(YEAR(L24),1,1)+1)),2))</f>
        <v/>
      </c>
      <c r="N24" s="46" t="str">
        <f>IF(K24="","",ROUND(N23+M24+IF(L24&lt;'Навигатор накоплений'!F22,N('Навигатор накоплений'!G22),0),2))</f>
        <v/>
      </c>
      <c r="P24" s="45" t="str">
        <f>IF('Навигатор накоплений'!A23="","",IF(18&lt;=DATEDIF('Навигатор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накоплений'!F23,1,0),Q23,""))</f>
        <v/>
      </c>
      <c r="Q24" s="45" t="str">
        <f>IF(P24="","",MIN(EDATE('Навигатор накоплений'!E23,18),'Навигатор накоплений'!F23))</f>
        <v/>
      </c>
      <c r="R24" s="46" t="str">
        <f>IF(P24="","",ROUND(S23*'Навигатор накоплений'!D23*IF(YEAR(P24)=YEAR(Q24-1),(Q24-P24)/(DATE(YEAR(P24),12,31)-DATE(YEAR(P24),1,1)+1),(DATE(YEAR(P24)+1,1,1)-P24)/(DATE(YEAR(P24),12,31)-DATE(YEAR(P24),1,1)+1)+(Q24-DATE(YEAR(Q24),1,1))/(DATE(YEAR(Q24),12,31)-DATE(YEAR(Q24),1,1)+1)),2))</f>
        <v/>
      </c>
      <c r="S24" s="46" t="str">
        <f>IF(P24="","",ROUND(S23+R24+IF(Q24&lt;'Навигатор накоплений'!F23,N('Навигатор накоплений'!G23),0),2))</f>
        <v/>
      </c>
      <c r="U24" s="45" t="str">
        <f>IF('Навигатор накоплений'!A24="","",IF(18&lt;=DATEDIF('Навигатор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накоплений'!F24,1,0),V23,""))</f>
        <v/>
      </c>
      <c r="V24" s="45" t="str">
        <f>IF(U24="","",MIN(EDATE('Навигатор накоплений'!E24,18),'Навигатор накоплений'!F24))</f>
        <v/>
      </c>
      <c r="W24" s="46" t="str">
        <f>IF(U24="","",ROUND(X23*'Навигатор накоплений'!D24*IF(YEAR(U24)=YEAR(V24-1),(V24-U24)/(DATE(YEAR(U24),12,31)-DATE(YEAR(U24),1,1)+1),(DATE(YEAR(U24)+1,1,1)-U24)/(DATE(YEAR(U24),12,31)-DATE(YEAR(U24),1,1)+1)+(V24-DATE(YEAR(V24),1,1))/(DATE(YEAR(V24),12,31)-DATE(YEAR(V24),1,1)+1)),2))</f>
        <v/>
      </c>
      <c r="X24" s="46" t="str">
        <f>IF(U24="","",ROUND(X23+W24+IF(V24&lt;'Навигатор накоплений'!F24,N('Навигатор накоплений'!G24),0),2))</f>
        <v/>
      </c>
      <c r="Z24" s="45" t="str">
        <f>IF('Навигатор накоплений'!A25="","",IF(18&lt;=DATEDIF('Навигатор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накоплений'!F25,1,0),AA23,""))</f>
        <v/>
      </c>
      <c r="AA24" s="45" t="str">
        <f>IF(Z24="","",MIN(EDATE('Навигатор накоплений'!E25,18),'Навигатор накоплений'!F25))</f>
        <v/>
      </c>
      <c r="AB24" s="46" t="str">
        <f>IF(Z24="","",ROUND(AC23*'Навигатор накоплений'!D25*IF(YEAR(Z24)=YEAR(AA24-1),(AA24-Z24)/(DATE(YEAR(Z24),12,31)-DATE(YEAR(Z24),1,1)+1),(DATE(YEAR(Z24)+1,1,1)-Z24)/(DATE(YEAR(Z24),12,31)-DATE(YEAR(Z24),1,1)+1)+(AA24-DATE(YEAR(AA24),1,1))/(DATE(YEAR(AA24),12,31)-DATE(YEAR(AA24),1,1)+1)),2))</f>
        <v/>
      </c>
      <c r="AC24" s="46" t="str">
        <f>IF(Z24="","",ROUND(AC23+AB24+IF(AA24&lt;'Навигатор накоплений'!F25,N('Навигатор накоплений'!G25),0),2))</f>
        <v/>
      </c>
      <c r="AE24" t="str">
        <f>IF('Навигатор накоплений'!A26="","",IF(18&lt;=DATEDIF('Навигатор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накоплений'!F26,1,0),AF23,""))</f>
        <v/>
      </c>
      <c r="AF24" t="str">
        <f>IF(AE24="","",MIN(EDATE('Навигатор накоплений'!E26,18),'Навигатор накоплений'!F26))</f>
        <v/>
      </c>
      <c r="AG24" t="str">
        <f>IF(AE24="","",ROUND(AH23*'Навигатор накоплений'!D26*IF(YEAR(AE24)=YEAR(AF24-1),(AF24-AE24)/(DATE(YEAR(AE24),12,31)-DATE(YEAR(AE24),1,1)+1),(DATE(YEAR(AE24)+1,1,1)-AE24)/(DATE(YEAR(AE24),12,31)-DATE(YEAR(AE24),1,1)+1)+(AF24-DATE(YEAR(AF24),1,1))/(DATE(YEAR(AF24),12,31)-DATE(YEAR(AF24),1,1)+1)),2))</f>
        <v/>
      </c>
      <c r="AH24" t="str">
        <f>IF(AE24="","",ROUND(AH23+AG24+IF(AF24&lt;'Навигатор накоплений'!F26,N('Навигатор накоплений'!G26),0),2))</f>
        <v/>
      </c>
      <c r="AJ24" t="str">
        <f>IF('Навигатор накоплений'!A27="","",IF(18&lt;=DATEDIF('Навигатор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накоплений'!F27,1,0),AK23,""))</f>
        <v/>
      </c>
      <c r="AK24" t="str">
        <f>IF(AJ24="","",MIN(EDATE('Навигатор накоплений'!E27,18),'Навигатор накоплений'!F27))</f>
        <v/>
      </c>
      <c r="AL24" t="str">
        <f>IF(AJ24="","",ROUND(AM23*'Навигатор накоплений'!D27*IF(YEAR(AJ24)=YEAR(AK24-1),(AK24-AJ24)/(DATE(YEAR(AJ24),12,31)-DATE(YEAR(AJ24),1,1)+1),(DATE(YEAR(AJ24)+1,1,1)-AJ24)/(DATE(YEAR(AJ24),12,31)-DATE(YEAR(AJ24),1,1)+1)+(AK24-DATE(YEAR(AK24),1,1))/(DATE(YEAR(AK24),12,31)-DATE(YEAR(AK24),1,1)+1)),2))</f>
        <v/>
      </c>
      <c r="AM24" t="str">
        <f>IF(AJ24="","",ROUND(AM23+AL24+IF(AK24&lt;'Навигатор накоплений'!F27,N('Навигатор накоплений'!G27),0),2))</f>
        <v/>
      </c>
      <c r="AO24" t="str">
        <f>IF('Навигатор накоплений'!A28="","",IF(18&lt;=DATEDIF('Навигатор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накоплений'!F28,1,0),AP23,""))</f>
        <v/>
      </c>
      <c r="AP24" t="str">
        <f>IF(AO24="","",MIN(EDATE('Навигатор накоплений'!E28,18),'Навигатор накоплений'!F28))</f>
        <v/>
      </c>
      <c r="AQ24" t="str">
        <f>IF(AO24="","",ROUND(AR23*'Навигатор накоплений'!D28*IF(YEAR(AO24)=YEAR(AP24-1),(AP24-AO24)/(DATE(YEAR(AO24),12,31)-DATE(YEAR(AO24),1,1)+1),(DATE(YEAR(AO24)+1,1,1)-AO24)/(DATE(YEAR(AO24),12,31)-DATE(YEAR(AO24),1,1)+1)+(AP24-DATE(YEAR(AP24),1,1))/(DATE(YEAR(AP24),12,31)-DATE(YEAR(AP24),1,1)+1)),2))</f>
        <v/>
      </c>
      <c r="AR24" t="str">
        <f>IF(AO24="","",ROUND(AR23+AQ24+IF(AP24&lt;'Навигатор накоплений'!F28,N('Навигатор накоплений'!G28),0),2))</f>
        <v/>
      </c>
      <c r="AT24">
        <f t="shared" si="0"/>
        <v>0</v>
      </c>
      <c r="AU24">
        <f t="shared" si="1"/>
        <v>0</v>
      </c>
      <c r="AV24">
        <f t="shared" si="2"/>
        <v>0</v>
      </c>
      <c r="AW24">
        <f t="shared" si="3"/>
        <v>0</v>
      </c>
      <c r="AX24">
        <f t="shared" si="4"/>
        <v>0</v>
      </c>
      <c r="AY24">
        <f t="shared" si="5"/>
        <v>0</v>
      </c>
      <c r="AZ24">
        <f t="shared" si="6"/>
        <v>0</v>
      </c>
      <c r="BA24"/>
      <c r="BB24"/>
      <c r="BD24"/>
      <c r="BE24"/>
      <c r="BF24"/>
      <c r="BG24"/>
    </row>
    <row r="25" spans="1:59" ht="15" x14ac:dyDescent="0.2">
      <c r="A25" s="100" t="str">
        <f>IF('Навигатор накоплений'!A32="","Счет не заполнен","Счет: "&amp;'Навигатор накоплений'!A32&amp;" — "&amp;'Навигатор накоплений'!B32)</f>
        <v>Счет не заполнен</v>
      </c>
      <c r="B25" s="100"/>
      <c r="C25" s="100"/>
      <c r="D25" s="100"/>
      <c r="E25" s="100"/>
      <c r="F25" s="100"/>
      <c r="G25" s="100"/>
      <c r="H25" s="100"/>
      <c r="I25" s="100"/>
      <c r="K25" s="45" t="str">
        <f>IF('Навигатор накоплений'!A22="","",IF(19&lt;=DATEDIF('Навигатор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накоплений'!F22,1,0),L24,""))</f>
        <v/>
      </c>
      <c r="L25" s="45" t="str">
        <f>IF(K25="","",MIN(EDATE('Навигатор накоплений'!E22,19),'Навигатор накоплений'!F22))</f>
        <v/>
      </c>
      <c r="M25" s="46" t="str">
        <f>IF(K25="","",ROUND(N24*'Навигатор накоплений'!D22*IF(YEAR(K25)=YEAR(L25-1),(L25-K25)/(DATE(YEAR(K25),12,31)-DATE(YEAR(K25),1,1)+1),(DATE(YEAR(K25)+1,1,1)-K25)/(DATE(YEAR(K25),12,31)-DATE(YEAR(K25),1,1)+1)+(L25-DATE(YEAR(L25),1,1))/(DATE(YEAR(L25),12,31)-DATE(YEAR(L25),1,1)+1)),2))</f>
        <v/>
      </c>
      <c r="N25" s="46" t="str">
        <f>IF(K25="","",ROUND(N24+M25+IF(L25&lt;'Навигатор накоплений'!F22,N('Навигатор накоплений'!G22),0),2))</f>
        <v/>
      </c>
      <c r="P25" s="45" t="str">
        <f>IF('Навигатор накоплений'!A23="","",IF(19&lt;=DATEDIF('Навигатор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накоплений'!F23,1,0),Q24,""))</f>
        <v/>
      </c>
      <c r="Q25" s="45" t="str">
        <f>IF(P25="","",MIN(EDATE('Навигатор накоплений'!E23,19),'Навигатор накоплений'!F23))</f>
        <v/>
      </c>
      <c r="R25" s="46" t="str">
        <f>IF(P25="","",ROUND(S24*'Навигатор накоплений'!D23*IF(YEAR(P25)=YEAR(Q25-1),(Q25-P25)/(DATE(YEAR(P25),12,31)-DATE(YEAR(P25),1,1)+1),(DATE(YEAR(P25)+1,1,1)-P25)/(DATE(YEAR(P25),12,31)-DATE(YEAR(P25),1,1)+1)+(Q25-DATE(YEAR(Q25),1,1))/(DATE(YEAR(Q25),12,31)-DATE(YEAR(Q25),1,1)+1)),2))</f>
        <v/>
      </c>
      <c r="S25" s="46" t="str">
        <f>IF(P25="","",ROUND(S24+R25+IF(Q25&lt;'Навигатор накоплений'!F23,N('Навигатор накоплений'!G23),0),2))</f>
        <v/>
      </c>
      <c r="U25" s="45" t="str">
        <f>IF('Навигатор накоплений'!A24="","",IF(19&lt;=DATEDIF('Навигатор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накоплений'!F24,1,0),V24,""))</f>
        <v/>
      </c>
      <c r="V25" s="45" t="str">
        <f>IF(U25="","",MIN(EDATE('Навигатор накоплений'!E24,19),'Навигатор накоплений'!F24))</f>
        <v/>
      </c>
      <c r="W25" s="46" t="str">
        <f>IF(U25="","",ROUND(X24*'Навигатор накоплений'!D24*IF(YEAR(U25)=YEAR(V25-1),(V25-U25)/(DATE(YEAR(U25),12,31)-DATE(YEAR(U25),1,1)+1),(DATE(YEAR(U25)+1,1,1)-U25)/(DATE(YEAR(U25),12,31)-DATE(YEAR(U25),1,1)+1)+(V25-DATE(YEAR(V25),1,1))/(DATE(YEAR(V25),12,31)-DATE(YEAR(V25),1,1)+1)),2))</f>
        <v/>
      </c>
      <c r="X25" s="46" t="str">
        <f>IF(U25="","",ROUND(X24+W25+IF(V25&lt;'Навигатор накоплений'!F24,N('Навигатор накоплений'!G24),0),2))</f>
        <v/>
      </c>
      <c r="Z25" s="45" t="str">
        <f>IF('Навигатор накоплений'!A25="","",IF(19&lt;=DATEDIF('Навигатор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накоплений'!F25,1,0),AA24,""))</f>
        <v/>
      </c>
      <c r="AA25" s="45" t="str">
        <f>IF(Z25="","",MIN(EDATE('Навигатор накоплений'!E25,19),'Навигатор накоплений'!F25))</f>
        <v/>
      </c>
      <c r="AB25" s="46" t="str">
        <f>IF(Z25="","",ROUND(AC24*'Навигатор накоплений'!D25*IF(YEAR(Z25)=YEAR(AA25-1),(AA25-Z25)/(DATE(YEAR(Z25),12,31)-DATE(YEAR(Z25),1,1)+1),(DATE(YEAR(Z25)+1,1,1)-Z25)/(DATE(YEAR(Z25),12,31)-DATE(YEAR(Z25),1,1)+1)+(AA25-DATE(YEAR(AA25),1,1))/(DATE(YEAR(AA25),12,31)-DATE(YEAR(AA25),1,1)+1)),2))</f>
        <v/>
      </c>
      <c r="AC25" s="46" t="str">
        <f>IF(Z25="","",ROUND(AC24+AB25+IF(AA25&lt;'Навигатор накоплений'!F25,N('Навигатор накоплений'!G25),0),2))</f>
        <v/>
      </c>
      <c r="AE25" t="str">
        <f>IF('Навигатор накоплений'!A26="","",IF(19&lt;=DATEDIF('Навигатор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накоплений'!F26,1,0),AF24,""))</f>
        <v/>
      </c>
      <c r="AF25" t="str">
        <f>IF(AE25="","",MIN(EDATE('Навигатор накоплений'!E26,19),'Навигатор накоплений'!F26))</f>
        <v/>
      </c>
      <c r="AG25" t="str">
        <f>IF(AE25="","",ROUND(AH24*'Навигатор накоплений'!D26*IF(YEAR(AE25)=YEAR(AF25-1),(AF25-AE25)/(DATE(YEAR(AE25),12,31)-DATE(YEAR(AE25),1,1)+1),(DATE(YEAR(AE25)+1,1,1)-AE25)/(DATE(YEAR(AE25),12,31)-DATE(YEAR(AE25),1,1)+1)+(AF25-DATE(YEAR(AF25),1,1))/(DATE(YEAR(AF25),12,31)-DATE(YEAR(AF25),1,1)+1)),2))</f>
        <v/>
      </c>
      <c r="AH25" t="str">
        <f>IF(AE25="","",ROUND(AH24+AG25+IF(AF25&lt;'Навигатор накоплений'!F26,N('Навигатор накоплений'!G26),0),2))</f>
        <v/>
      </c>
      <c r="AJ25" t="str">
        <f>IF('Навигатор накоплений'!A27="","",IF(19&lt;=DATEDIF('Навигатор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накоплений'!F27,1,0),AK24,""))</f>
        <v/>
      </c>
      <c r="AK25" t="str">
        <f>IF(AJ25="","",MIN(EDATE('Навигатор накоплений'!E27,19),'Навигатор накоплений'!F27))</f>
        <v/>
      </c>
      <c r="AL25" t="str">
        <f>IF(AJ25="","",ROUND(AM24*'Навигатор накоплений'!D27*IF(YEAR(AJ25)=YEAR(AK25-1),(AK25-AJ25)/(DATE(YEAR(AJ25),12,31)-DATE(YEAR(AJ25),1,1)+1),(DATE(YEAR(AJ25)+1,1,1)-AJ25)/(DATE(YEAR(AJ25),12,31)-DATE(YEAR(AJ25),1,1)+1)+(AK25-DATE(YEAR(AK25),1,1))/(DATE(YEAR(AK25),12,31)-DATE(YEAR(AK25),1,1)+1)),2))</f>
        <v/>
      </c>
      <c r="AM25" t="str">
        <f>IF(AJ25="","",ROUND(AM24+AL25+IF(AK25&lt;'Навигатор накоплений'!F27,N('Навигатор накоплений'!G27),0),2))</f>
        <v/>
      </c>
      <c r="AO25" t="str">
        <f>IF('Навигатор накоплений'!A28="","",IF(19&lt;=DATEDIF('Навигатор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накоплений'!F28,1,0),AP24,""))</f>
        <v/>
      </c>
      <c r="AP25" t="str">
        <f>IF(AO25="","",MIN(EDATE('Навигатор накоплений'!E28,19),'Навигатор накоплений'!F28))</f>
        <v/>
      </c>
      <c r="AQ25" t="str">
        <f>IF(AO25="","",ROUND(AR24*'Навигатор накоплений'!D28*IF(YEAR(AO25)=YEAR(AP25-1),(AP25-AO25)/(DATE(YEAR(AO25),12,31)-DATE(YEAR(AO25),1,1)+1),(DATE(YEAR(AO25)+1,1,1)-AO25)/(DATE(YEAR(AO25),12,31)-DATE(YEAR(AO25),1,1)+1)+(AP25-DATE(YEAR(AP25),1,1))/(DATE(YEAR(AP25),12,31)-DATE(YEAR(AP25),1,1)+1)),2))</f>
        <v/>
      </c>
      <c r="AR25" t="str">
        <f>IF(AO25="","",ROUND(AR24+AQ25+IF(AP25&lt;'Навигатор накоплений'!F28,N('Навигатор накоплений'!G28),0),2))</f>
        <v/>
      </c>
      <c r="AT25">
        <f t="shared" si="0"/>
        <v>0</v>
      </c>
      <c r="AU25">
        <f t="shared" si="1"/>
        <v>0</v>
      </c>
      <c r="AV25">
        <f t="shared" si="2"/>
        <v>0</v>
      </c>
      <c r="AW25">
        <f t="shared" si="3"/>
        <v>0</v>
      </c>
      <c r="AX25">
        <f t="shared" si="4"/>
        <v>0</v>
      </c>
      <c r="AY25">
        <f t="shared" si="5"/>
        <v>0</v>
      </c>
      <c r="AZ25">
        <f t="shared" si="6"/>
        <v>0</v>
      </c>
      <c r="BA25"/>
      <c r="BB25"/>
      <c r="BD25"/>
      <c r="BE25"/>
      <c r="BF25"/>
      <c r="BG25"/>
    </row>
    <row r="26" spans="1:59" ht="15" x14ac:dyDescent="0.2">
      <c r="A26" s="47" t="s">
        <v>53</v>
      </c>
      <c r="B26" s="47" t="s">
        <v>49</v>
      </c>
      <c r="C26" s="47" t="s">
        <v>50</v>
      </c>
      <c r="D26" s="47" t="s">
        <v>54</v>
      </c>
      <c r="E26" s="47" t="s">
        <v>55</v>
      </c>
      <c r="F26" s="47" t="s">
        <v>56</v>
      </c>
      <c r="G26" s="47" t="s">
        <v>57</v>
      </c>
      <c r="H26" s="47" t="s">
        <v>51</v>
      </c>
      <c r="I26" s="47" t="s">
        <v>52</v>
      </c>
      <c r="K26" s="45" t="str">
        <f>IF('Навигатор накоплений'!A22="","",IF(20&lt;=DATEDIF('Навигатор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накоплений'!F22,1,0),L25,""))</f>
        <v/>
      </c>
      <c r="L26" s="45" t="str">
        <f>IF(K26="","",MIN(EDATE('Навигатор накоплений'!E22,20),'Навигатор накоплений'!F22))</f>
        <v/>
      </c>
      <c r="M26" s="46" t="str">
        <f>IF(K26="","",ROUND(N25*'Навигатор накоплений'!D22*IF(YEAR(K26)=YEAR(L26-1),(L26-K26)/(DATE(YEAR(K26),12,31)-DATE(YEAR(K26),1,1)+1),(DATE(YEAR(K26)+1,1,1)-K26)/(DATE(YEAR(K26),12,31)-DATE(YEAR(K26),1,1)+1)+(L26-DATE(YEAR(L26),1,1))/(DATE(YEAR(L26),12,31)-DATE(YEAR(L26),1,1)+1)),2))</f>
        <v/>
      </c>
      <c r="N26" s="46" t="str">
        <f>IF(K26="","",ROUND(N25+M26+IF(L26&lt;'Навигатор накоплений'!F22,N('Навигатор накоплений'!G22),0),2))</f>
        <v/>
      </c>
      <c r="P26" s="45" t="str">
        <f>IF('Навигатор накоплений'!A23="","",IF(20&lt;=DATEDIF('Навигатор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накоплений'!F23,1,0),Q25,""))</f>
        <v/>
      </c>
      <c r="Q26" s="45" t="str">
        <f>IF(P26="","",MIN(EDATE('Навигатор накоплений'!E23,20),'Навигатор накоплений'!F23))</f>
        <v/>
      </c>
      <c r="R26" s="46" t="str">
        <f>IF(P26="","",ROUND(S25*'Навигатор накоплений'!D23*IF(YEAR(P26)=YEAR(Q26-1),(Q26-P26)/(DATE(YEAR(P26),12,31)-DATE(YEAR(P26),1,1)+1),(DATE(YEAR(P26)+1,1,1)-P26)/(DATE(YEAR(P26),12,31)-DATE(YEAR(P26),1,1)+1)+(Q26-DATE(YEAR(Q26),1,1))/(DATE(YEAR(Q26),12,31)-DATE(YEAR(Q26),1,1)+1)),2))</f>
        <v/>
      </c>
      <c r="S26" s="46" t="str">
        <f>IF(P26="","",ROUND(S25+R26+IF(Q26&lt;'Навигатор накоплений'!F23,N('Навигатор накоплений'!G23),0),2))</f>
        <v/>
      </c>
      <c r="U26" s="45" t="str">
        <f>IF('Навигатор накоплений'!A24="","",IF(20&lt;=DATEDIF('Навигатор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накоплений'!F24,1,0),V25,""))</f>
        <v/>
      </c>
      <c r="V26" s="45" t="str">
        <f>IF(U26="","",MIN(EDATE('Навигатор накоплений'!E24,20),'Навигатор накоплений'!F24))</f>
        <v/>
      </c>
      <c r="W26" s="46" t="str">
        <f>IF(U26="","",ROUND(X25*'Навигатор накоплений'!D24*IF(YEAR(U26)=YEAR(V26-1),(V26-U26)/(DATE(YEAR(U26),12,31)-DATE(YEAR(U26),1,1)+1),(DATE(YEAR(U26)+1,1,1)-U26)/(DATE(YEAR(U26),12,31)-DATE(YEAR(U26),1,1)+1)+(V26-DATE(YEAR(V26),1,1))/(DATE(YEAR(V26),12,31)-DATE(YEAR(V26),1,1)+1)),2))</f>
        <v/>
      </c>
      <c r="X26" s="46" t="str">
        <f>IF(U26="","",ROUND(X25+W26+IF(V26&lt;'Навигатор накоплений'!F24,N('Навигатор накоплений'!G24),0),2))</f>
        <v/>
      </c>
      <c r="Z26" s="45" t="str">
        <f>IF('Навигатор накоплений'!A25="","",IF(20&lt;=DATEDIF('Навигатор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накоплений'!F25,1,0),AA25,""))</f>
        <v/>
      </c>
      <c r="AA26" s="45" t="str">
        <f>IF(Z26="","",MIN(EDATE('Навигатор накоплений'!E25,20),'Навигатор накоплений'!F25))</f>
        <v/>
      </c>
      <c r="AB26" s="46" t="str">
        <f>IF(Z26="","",ROUND(AC25*'Навигатор накоплений'!D25*IF(YEAR(Z26)=YEAR(AA26-1),(AA26-Z26)/(DATE(YEAR(Z26),12,31)-DATE(YEAR(Z26),1,1)+1),(DATE(YEAR(Z26)+1,1,1)-Z26)/(DATE(YEAR(Z26),12,31)-DATE(YEAR(Z26),1,1)+1)+(AA26-DATE(YEAR(AA26),1,1))/(DATE(YEAR(AA26),12,31)-DATE(YEAR(AA26),1,1)+1)),2))</f>
        <v/>
      </c>
      <c r="AC26" s="46" t="str">
        <f>IF(Z26="","",ROUND(AC25+AB26+IF(AA26&lt;'Навигатор накоплений'!F25,N('Навигатор накоплений'!G25),0),2))</f>
        <v/>
      </c>
      <c r="AE26" t="str">
        <f>IF('Навигатор накоплений'!A26="","",IF(20&lt;=DATEDIF('Навигатор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накоплений'!F26,1,0),AF25,""))</f>
        <v/>
      </c>
      <c r="AF26" t="str">
        <f>IF(AE26="","",MIN(EDATE('Навигатор накоплений'!E26,20),'Навигатор накоплений'!F26))</f>
        <v/>
      </c>
      <c r="AG26" t="str">
        <f>IF(AE26="","",ROUND(AH25*'Навигатор накоплений'!D26*IF(YEAR(AE26)=YEAR(AF26-1),(AF26-AE26)/(DATE(YEAR(AE26),12,31)-DATE(YEAR(AE26),1,1)+1),(DATE(YEAR(AE26)+1,1,1)-AE26)/(DATE(YEAR(AE26),12,31)-DATE(YEAR(AE26),1,1)+1)+(AF26-DATE(YEAR(AF26),1,1))/(DATE(YEAR(AF26),12,31)-DATE(YEAR(AF26),1,1)+1)),2))</f>
        <v/>
      </c>
      <c r="AH26" t="str">
        <f>IF(AE26="","",ROUND(AH25+AG26+IF(AF26&lt;'Навигатор накоплений'!F26,N('Навигатор накоплений'!G26),0),2))</f>
        <v/>
      </c>
      <c r="AJ26" t="str">
        <f>IF('Навигатор накоплений'!A27="","",IF(20&lt;=DATEDIF('Навигатор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накоплений'!F27,1,0),AK25,""))</f>
        <v/>
      </c>
      <c r="AK26" t="str">
        <f>IF(AJ26="","",MIN(EDATE('Навигатор накоплений'!E27,20),'Навигатор накоплений'!F27))</f>
        <v/>
      </c>
      <c r="AL26" t="str">
        <f>IF(AJ26="","",ROUND(AM25*'Навигатор накоплений'!D27*IF(YEAR(AJ26)=YEAR(AK26-1),(AK26-AJ26)/(DATE(YEAR(AJ26),12,31)-DATE(YEAR(AJ26),1,1)+1),(DATE(YEAR(AJ26)+1,1,1)-AJ26)/(DATE(YEAR(AJ26),12,31)-DATE(YEAR(AJ26),1,1)+1)+(AK26-DATE(YEAR(AK26),1,1))/(DATE(YEAR(AK26),12,31)-DATE(YEAR(AK26),1,1)+1)),2))</f>
        <v/>
      </c>
      <c r="AM26" t="str">
        <f>IF(AJ26="","",ROUND(AM25+AL26+IF(AK26&lt;'Навигатор накоплений'!F27,N('Навигатор накоплений'!G27),0),2))</f>
        <v/>
      </c>
      <c r="AO26" t="str">
        <f>IF('Навигатор накоплений'!A28="","",IF(20&lt;=DATEDIF('Навигатор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накоплений'!F28,1,0),AP25,""))</f>
        <v/>
      </c>
      <c r="AP26" t="str">
        <f>IF(AO26="","",MIN(EDATE('Навигатор накоплений'!E28,20),'Навигатор накоплений'!F28))</f>
        <v/>
      </c>
      <c r="AQ26" t="str">
        <f>IF(AO26="","",ROUND(AR25*'Навигатор накоплений'!D28*IF(YEAR(AO26)=YEAR(AP26-1),(AP26-AO26)/(DATE(YEAR(AO26),12,31)-DATE(YEAR(AO26),1,1)+1),(DATE(YEAR(AO26)+1,1,1)-AO26)/(DATE(YEAR(AO26),12,31)-DATE(YEAR(AO26),1,1)+1)+(AP26-DATE(YEAR(AP26),1,1))/(DATE(YEAR(AP26),12,31)-DATE(YEAR(AP26),1,1)+1)),2))</f>
        <v/>
      </c>
      <c r="AR26" t="str">
        <f>IF(AO26="","",ROUND(AR25+AQ26+IF(AP26&lt;'Навигатор накоплений'!F28,N('Навигатор накоплений'!G28),0),2))</f>
        <v/>
      </c>
      <c r="AT26">
        <f t="shared" si="0"/>
        <v>0</v>
      </c>
      <c r="AU26">
        <f t="shared" si="1"/>
        <v>0</v>
      </c>
      <c r="AV26">
        <f t="shared" si="2"/>
        <v>0</v>
      </c>
      <c r="AW26">
        <f t="shared" si="3"/>
        <v>0</v>
      </c>
      <c r="AX26">
        <f t="shared" si="4"/>
        <v>0</v>
      </c>
      <c r="AY26">
        <f t="shared" si="5"/>
        <v>0</v>
      </c>
      <c r="AZ26">
        <f t="shared" si="6"/>
        <v>0</v>
      </c>
      <c r="BA26"/>
      <c r="BB26"/>
      <c r="BD26"/>
      <c r="BE26"/>
      <c r="BF26"/>
      <c r="BG26"/>
    </row>
    <row r="27" spans="1:59" ht="15" x14ac:dyDescent="0.2">
      <c r="A27" s="43">
        <v>1</v>
      </c>
      <c r="B27" s="45" t="str">
        <f>IF('Навигатор накоплений'!A32="","",EDATE('Навигатор накоплений'!C32,A27-1))</f>
        <v/>
      </c>
      <c r="C27" s="45" t="str">
        <f>IF(B27="","",EDATE('Навигатор накоплений'!C32,A27))</f>
        <v/>
      </c>
      <c r="D27" s="46" t="str">
        <f>IF(B27="","",'Навигатор накоплений'!D32)</f>
        <v/>
      </c>
      <c r="E27" s="46" t="str">
        <f>IF(B27="","",N('Навигатор накоплений'!G32))</f>
        <v/>
      </c>
      <c r="F27" s="46" t="str">
        <f>IF(B27="","",IF('Навигатор накоплений'!F32="Ежедневный остаток",D27+E27,D27))</f>
        <v/>
      </c>
      <c r="G27" s="48" t="str">
        <f t="shared" ref="G27:G38" si="17">IF(B27="","",C27-B27)</f>
        <v/>
      </c>
      <c r="H27" s="46" t="str">
        <f>IF(B27="","",ROUND(F27*'Навигатор накоплений'!E32*IF(YEAR(B27)=YEAR(C27-1),(C27-B27)/(DATE(YEAR(B27),12,31)-DATE(YEAR(B27),1,1)+1),(DATE(YEAR(B27)+1,1,1)-B27)/(DATE(YEAR(B27),12,31)-DATE(YEAR(B27),1,1)+1)+(C27-DATE(YEAR(C27),1,1))/(DATE(YEAR(C27),12,31)-DATE(YEAR(C27),1,1)+1)),2))</f>
        <v/>
      </c>
      <c r="I27" s="46" t="str">
        <f t="shared" ref="I27:I38" si="18">IF(B27="","",ROUND(D27+E27+H27,2))</f>
        <v/>
      </c>
      <c r="K27" s="45" t="str">
        <f>IF('Навигатор накоплений'!A22="","",IF(21&lt;=DATEDIF('Навигатор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накоплений'!F22,1,0),L26,""))</f>
        <v/>
      </c>
      <c r="L27" s="45" t="str">
        <f>IF(K27="","",MIN(EDATE('Навигатор накоплений'!E22,21),'Навигатор накоплений'!F22))</f>
        <v/>
      </c>
      <c r="M27" s="46" t="str">
        <f>IF(K27="","",ROUND(N26*'Навигатор накоплений'!D22*IF(YEAR(K27)=YEAR(L27-1),(L27-K27)/(DATE(YEAR(K27),12,31)-DATE(YEAR(K27),1,1)+1),(DATE(YEAR(K27)+1,1,1)-K27)/(DATE(YEAR(K27),12,31)-DATE(YEAR(K27),1,1)+1)+(L27-DATE(YEAR(L27),1,1))/(DATE(YEAR(L27),12,31)-DATE(YEAR(L27),1,1)+1)),2))</f>
        <v/>
      </c>
      <c r="N27" s="46" t="str">
        <f>IF(K27="","",ROUND(N26+M27+IF(L27&lt;'Навигатор накоплений'!F22,N('Навигатор накоплений'!G22),0),2))</f>
        <v/>
      </c>
      <c r="P27" s="45" t="str">
        <f>IF('Навигатор накоплений'!A23="","",IF(21&lt;=DATEDIF('Навигатор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накоплений'!F23,1,0),Q26,""))</f>
        <v/>
      </c>
      <c r="Q27" s="45" t="str">
        <f>IF(P27="","",MIN(EDATE('Навигатор накоплений'!E23,21),'Навигатор накоплений'!F23))</f>
        <v/>
      </c>
      <c r="R27" s="46" t="str">
        <f>IF(P27="","",ROUND(S26*'Навигатор накоплений'!D23*IF(YEAR(P27)=YEAR(Q27-1),(Q27-P27)/(DATE(YEAR(P27),12,31)-DATE(YEAR(P27),1,1)+1),(DATE(YEAR(P27)+1,1,1)-P27)/(DATE(YEAR(P27),12,31)-DATE(YEAR(P27),1,1)+1)+(Q27-DATE(YEAR(Q27),1,1))/(DATE(YEAR(Q27),12,31)-DATE(YEAR(Q27),1,1)+1)),2))</f>
        <v/>
      </c>
      <c r="S27" s="46" t="str">
        <f>IF(P27="","",ROUND(S26+R27+IF(Q27&lt;'Навигатор накоплений'!F23,N('Навигатор накоплений'!G23),0),2))</f>
        <v/>
      </c>
      <c r="U27" s="45" t="str">
        <f>IF('Навигатор накоплений'!A24="","",IF(21&lt;=DATEDIF('Навигатор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накоплений'!F24,1,0),V26,""))</f>
        <v/>
      </c>
      <c r="V27" s="45" t="str">
        <f>IF(U27="","",MIN(EDATE('Навигатор накоплений'!E24,21),'Навигатор накоплений'!F24))</f>
        <v/>
      </c>
      <c r="W27" s="46" t="str">
        <f>IF(U27="","",ROUND(X26*'Навигатор накоплений'!D24*IF(YEAR(U27)=YEAR(V27-1),(V27-U27)/(DATE(YEAR(U27),12,31)-DATE(YEAR(U27),1,1)+1),(DATE(YEAR(U27)+1,1,1)-U27)/(DATE(YEAR(U27),12,31)-DATE(YEAR(U27),1,1)+1)+(V27-DATE(YEAR(V27),1,1))/(DATE(YEAR(V27),12,31)-DATE(YEAR(V27),1,1)+1)),2))</f>
        <v/>
      </c>
      <c r="X27" s="46" t="str">
        <f>IF(U27="","",ROUND(X26+W27+IF(V27&lt;'Навигатор накоплений'!F24,N('Навигатор накоплений'!G24),0),2))</f>
        <v/>
      </c>
      <c r="Z27" s="45" t="str">
        <f>IF('Навигатор накоплений'!A25="","",IF(21&lt;=DATEDIF('Навигатор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накоплений'!F25,1,0),AA26,""))</f>
        <v/>
      </c>
      <c r="AA27" s="45" t="str">
        <f>IF(Z27="","",MIN(EDATE('Навигатор накоплений'!E25,21),'Навигатор накоплений'!F25))</f>
        <v/>
      </c>
      <c r="AB27" s="46" t="str">
        <f>IF(Z27="","",ROUND(AC26*'Навигатор накоплений'!D25*IF(YEAR(Z27)=YEAR(AA27-1),(AA27-Z27)/(DATE(YEAR(Z27),12,31)-DATE(YEAR(Z27),1,1)+1),(DATE(YEAR(Z27)+1,1,1)-Z27)/(DATE(YEAR(Z27),12,31)-DATE(YEAR(Z27),1,1)+1)+(AA27-DATE(YEAR(AA27),1,1))/(DATE(YEAR(AA27),12,31)-DATE(YEAR(AA27),1,1)+1)),2))</f>
        <v/>
      </c>
      <c r="AC27" s="46" t="str">
        <f>IF(Z27="","",ROUND(AC26+AB27+IF(AA27&lt;'Навигатор накоплений'!F25,N('Навигатор накоплений'!G25),0),2))</f>
        <v/>
      </c>
      <c r="AE27" t="str">
        <f>IF('Навигатор накоплений'!A26="","",IF(21&lt;=DATEDIF('Навигатор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накоплений'!F26,1,0),AF26,""))</f>
        <v/>
      </c>
      <c r="AF27" t="str">
        <f>IF(AE27="","",MIN(EDATE('Навигатор накоплений'!E26,21),'Навигатор накоплений'!F26))</f>
        <v/>
      </c>
      <c r="AG27" t="str">
        <f>IF(AE27="","",ROUND(AH26*'Навигатор накоплений'!D26*IF(YEAR(AE27)=YEAR(AF27-1),(AF27-AE27)/(DATE(YEAR(AE27),12,31)-DATE(YEAR(AE27),1,1)+1),(DATE(YEAR(AE27)+1,1,1)-AE27)/(DATE(YEAR(AE27),12,31)-DATE(YEAR(AE27),1,1)+1)+(AF27-DATE(YEAR(AF27),1,1))/(DATE(YEAR(AF27),12,31)-DATE(YEAR(AF27),1,1)+1)),2))</f>
        <v/>
      </c>
      <c r="AH27" t="str">
        <f>IF(AE27="","",ROUND(AH26+AG27+IF(AF27&lt;'Навигатор накоплений'!F26,N('Навигатор накоплений'!G26),0),2))</f>
        <v/>
      </c>
      <c r="AJ27" t="str">
        <f>IF('Навигатор накоплений'!A27="","",IF(21&lt;=DATEDIF('Навигатор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накоплений'!F27,1,0),AK26,""))</f>
        <v/>
      </c>
      <c r="AK27" t="str">
        <f>IF(AJ27="","",MIN(EDATE('Навигатор накоплений'!E27,21),'Навигатор накоплений'!F27))</f>
        <v/>
      </c>
      <c r="AL27" t="str">
        <f>IF(AJ27="","",ROUND(AM26*'Навигатор накоплений'!D27*IF(YEAR(AJ27)=YEAR(AK27-1),(AK27-AJ27)/(DATE(YEAR(AJ27),12,31)-DATE(YEAR(AJ27),1,1)+1),(DATE(YEAR(AJ27)+1,1,1)-AJ27)/(DATE(YEAR(AJ27),12,31)-DATE(YEAR(AJ27),1,1)+1)+(AK27-DATE(YEAR(AK27),1,1))/(DATE(YEAR(AK27),12,31)-DATE(YEAR(AK27),1,1)+1)),2))</f>
        <v/>
      </c>
      <c r="AM27" t="str">
        <f>IF(AJ27="","",ROUND(AM26+AL27+IF(AK27&lt;'Навигатор накоплений'!F27,N('Навигатор накоплений'!G27),0),2))</f>
        <v/>
      </c>
      <c r="AO27" t="str">
        <f>IF('Навигатор накоплений'!A28="","",IF(21&lt;=DATEDIF('Навигатор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накоплений'!F28,1,0),AP26,""))</f>
        <v/>
      </c>
      <c r="AP27" t="str">
        <f>IF(AO27="","",MIN(EDATE('Навигатор накоплений'!E28,21),'Навигатор накоплений'!F28))</f>
        <v/>
      </c>
      <c r="AQ27" t="str">
        <f>IF(AO27="","",ROUND(AR26*'Навигатор накоплений'!D28*IF(YEAR(AO27)=YEAR(AP27-1),(AP27-AO27)/(DATE(YEAR(AO27),12,31)-DATE(YEAR(AO27),1,1)+1),(DATE(YEAR(AO27)+1,1,1)-AO27)/(DATE(YEAR(AO27),12,31)-DATE(YEAR(AO27),1,1)+1)+(AP27-DATE(YEAR(AP27),1,1))/(DATE(YEAR(AP27),12,31)-DATE(YEAR(AP27),1,1)+1)),2))</f>
        <v/>
      </c>
      <c r="AR27" t="str">
        <f>IF(AO27="","",ROUND(AR26+AQ27+IF(AP27&lt;'Навигатор накоплений'!F28,N('Навигатор накоплений'!G28),0),2))</f>
        <v/>
      </c>
      <c r="AT27">
        <f t="shared" si="0"/>
        <v>0</v>
      </c>
      <c r="AU27">
        <f t="shared" si="1"/>
        <v>0</v>
      </c>
      <c r="AV27">
        <f t="shared" si="2"/>
        <v>0</v>
      </c>
      <c r="AW27">
        <f t="shared" si="3"/>
        <v>0</v>
      </c>
      <c r="AX27">
        <f t="shared" si="4"/>
        <v>0</v>
      </c>
      <c r="AY27">
        <f t="shared" si="5"/>
        <v>0</v>
      </c>
      <c r="AZ27">
        <f t="shared" si="6"/>
        <v>0</v>
      </c>
      <c r="BA27"/>
      <c r="BB27"/>
      <c r="BD27"/>
      <c r="BE27"/>
      <c r="BF27"/>
      <c r="BG27"/>
    </row>
    <row r="28" spans="1:59" ht="15" x14ac:dyDescent="0.2">
      <c r="A28" s="43">
        <v>2</v>
      </c>
      <c r="B28" s="45" t="str">
        <f>IF('Навигатор накоплений'!A32="","",EDATE('Навигатор накоплений'!C32,A28-1))</f>
        <v/>
      </c>
      <c r="C28" s="45" t="str">
        <f>IF(B28="","",EDATE('Навигатор накоплений'!C32,A28))</f>
        <v/>
      </c>
      <c r="D28" s="46" t="str">
        <f t="shared" ref="D28:D38" si="19">IF(B28="","",I27)</f>
        <v/>
      </c>
      <c r="E28" s="46" t="str">
        <f>IF(B28="","",N('Навигатор накоплений'!G32))</f>
        <v/>
      </c>
      <c r="F28" s="46" t="str">
        <f>IF(B28="","",IF('Навигатор накоплений'!F32="Ежедневный остаток",D28+E28,D28))</f>
        <v/>
      </c>
      <c r="G28" s="48" t="str">
        <f t="shared" si="17"/>
        <v/>
      </c>
      <c r="H28" s="46" t="str">
        <f>IF(B28="","",ROUND(F28*'Навигатор накоплений'!E32*IF(YEAR(B28)=YEAR(C28-1),(C28-B28)/(DATE(YEAR(B28),12,31)-DATE(YEAR(B28),1,1)+1),(DATE(YEAR(B28)+1,1,1)-B28)/(DATE(YEAR(B28),12,31)-DATE(YEAR(B28),1,1)+1)+(C28-DATE(YEAR(C28),1,1))/(DATE(YEAR(C28),12,31)-DATE(YEAR(C28),1,1)+1)),2))</f>
        <v/>
      </c>
      <c r="I28" s="46" t="str">
        <f t="shared" si="18"/>
        <v/>
      </c>
      <c r="K28" s="45" t="str">
        <f>IF('Навигатор накоплений'!A22="","",IF(22&lt;=DATEDIF('Навигатор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накоплений'!F22,1,0),L27,""))</f>
        <v/>
      </c>
      <c r="L28" s="45" t="str">
        <f>IF(K28="","",MIN(EDATE('Навигатор накоплений'!E22,22),'Навигатор накоплений'!F22))</f>
        <v/>
      </c>
      <c r="M28" s="46" t="str">
        <f>IF(K28="","",ROUND(N27*'Навигатор накоплений'!D22*IF(YEAR(K28)=YEAR(L28-1),(L28-K28)/(DATE(YEAR(K28),12,31)-DATE(YEAR(K28),1,1)+1),(DATE(YEAR(K28)+1,1,1)-K28)/(DATE(YEAR(K28),12,31)-DATE(YEAR(K28),1,1)+1)+(L28-DATE(YEAR(L28),1,1))/(DATE(YEAR(L28),12,31)-DATE(YEAR(L28),1,1)+1)),2))</f>
        <v/>
      </c>
      <c r="N28" s="46" t="str">
        <f>IF(K28="","",ROUND(N27+M28+IF(L28&lt;'Навигатор накоплений'!F22,N('Навигатор накоплений'!G22),0),2))</f>
        <v/>
      </c>
      <c r="P28" s="45" t="str">
        <f>IF('Навигатор накоплений'!A23="","",IF(22&lt;=DATEDIF('Навигатор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накоплений'!F23,1,0),Q27,""))</f>
        <v/>
      </c>
      <c r="Q28" s="45" t="str">
        <f>IF(P28="","",MIN(EDATE('Навигатор накоплений'!E23,22),'Навигатор накоплений'!F23))</f>
        <v/>
      </c>
      <c r="R28" s="46" t="str">
        <f>IF(P28="","",ROUND(S27*'Навигатор накоплений'!D23*IF(YEAR(P28)=YEAR(Q28-1),(Q28-P28)/(DATE(YEAR(P28),12,31)-DATE(YEAR(P28),1,1)+1),(DATE(YEAR(P28)+1,1,1)-P28)/(DATE(YEAR(P28),12,31)-DATE(YEAR(P28),1,1)+1)+(Q28-DATE(YEAR(Q28),1,1))/(DATE(YEAR(Q28),12,31)-DATE(YEAR(Q28),1,1)+1)),2))</f>
        <v/>
      </c>
      <c r="S28" s="46" t="str">
        <f>IF(P28="","",ROUND(S27+R28+IF(Q28&lt;'Навигатор накоплений'!F23,N('Навигатор накоплений'!G23),0),2))</f>
        <v/>
      </c>
      <c r="U28" s="45" t="str">
        <f>IF('Навигатор накоплений'!A24="","",IF(22&lt;=DATEDIF('Навигатор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накоплений'!F24,1,0),V27,""))</f>
        <v/>
      </c>
      <c r="V28" s="45" t="str">
        <f>IF(U28="","",MIN(EDATE('Навигатор накоплений'!E24,22),'Навигатор накоплений'!F24))</f>
        <v/>
      </c>
      <c r="W28" s="46" t="str">
        <f>IF(U28="","",ROUND(X27*'Навигатор накоплений'!D24*IF(YEAR(U28)=YEAR(V28-1),(V28-U28)/(DATE(YEAR(U28),12,31)-DATE(YEAR(U28),1,1)+1),(DATE(YEAR(U28)+1,1,1)-U28)/(DATE(YEAR(U28),12,31)-DATE(YEAR(U28),1,1)+1)+(V28-DATE(YEAR(V28),1,1))/(DATE(YEAR(V28),12,31)-DATE(YEAR(V28),1,1)+1)),2))</f>
        <v/>
      </c>
      <c r="X28" s="46" t="str">
        <f>IF(U28="","",ROUND(X27+W28+IF(V28&lt;'Навигатор накоплений'!F24,N('Навигатор накоплений'!G24),0),2))</f>
        <v/>
      </c>
      <c r="Z28" s="45" t="str">
        <f>IF('Навигатор накоплений'!A25="","",IF(22&lt;=DATEDIF('Навигатор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накоплений'!F25,1,0),AA27,""))</f>
        <v/>
      </c>
      <c r="AA28" s="45" t="str">
        <f>IF(Z28="","",MIN(EDATE('Навигатор накоплений'!E25,22),'Навигатор накоплений'!F25))</f>
        <v/>
      </c>
      <c r="AB28" s="46" t="str">
        <f>IF(Z28="","",ROUND(AC27*'Навигатор накоплений'!D25*IF(YEAR(Z28)=YEAR(AA28-1),(AA28-Z28)/(DATE(YEAR(Z28),12,31)-DATE(YEAR(Z28),1,1)+1),(DATE(YEAR(Z28)+1,1,1)-Z28)/(DATE(YEAR(Z28),12,31)-DATE(YEAR(Z28),1,1)+1)+(AA28-DATE(YEAR(AA28),1,1))/(DATE(YEAR(AA28),12,31)-DATE(YEAR(AA28),1,1)+1)),2))</f>
        <v/>
      </c>
      <c r="AC28" s="46" t="str">
        <f>IF(Z28="","",ROUND(AC27+AB28+IF(AA28&lt;'Навигатор накоплений'!F25,N('Навигатор накоплений'!G25),0),2))</f>
        <v/>
      </c>
      <c r="AE28" t="str">
        <f>IF('Навигатор накоплений'!A26="","",IF(22&lt;=DATEDIF('Навигатор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накоплений'!F26,1,0),AF27,""))</f>
        <v/>
      </c>
      <c r="AF28" t="str">
        <f>IF(AE28="","",MIN(EDATE('Навигатор накоплений'!E26,22),'Навигатор накоплений'!F26))</f>
        <v/>
      </c>
      <c r="AG28" t="str">
        <f>IF(AE28="","",ROUND(AH27*'Навигатор накоплений'!D26*IF(YEAR(AE28)=YEAR(AF28-1),(AF28-AE28)/(DATE(YEAR(AE28),12,31)-DATE(YEAR(AE28),1,1)+1),(DATE(YEAR(AE28)+1,1,1)-AE28)/(DATE(YEAR(AE28),12,31)-DATE(YEAR(AE28),1,1)+1)+(AF28-DATE(YEAR(AF28),1,1))/(DATE(YEAR(AF28),12,31)-DATE(YEAR(AF28),1,1)+1)),2))</f>
        <v/>
      </c>
      <c r="AH28" t="str">
        <f>IF(AE28="","",ROUND(AH27+AG28+IF(AF28&lt;'Навигатор накоплений'!F26,N('Навигатор накоплений'!G26),0),2))</f>
        <v/>
      </c>
      <c r="AJ28" t="str">
        <f>IF('Навигатор накоплений'!A27="","",IF(22&lt;=DATEDIF('Навигатор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накоплений'!F27,1,0),AK27,""))</f>
        <v/>
      </c>
      <c r="AK28" t="str">
        <f>IF(AJ28="","",MIN(EDATE('Навигатор накоплений'!E27,22),'Навигатор накоплений'!F27))</f>
        <v/>
      </c>
      <c r="AL28" t="str">
        <f>IF(AJ28="","",ROUND(AM27*'Навигатор накоплений'!D27*IF(YEAR(AJ28)=YEAR(AK28-1),(AK28-AJ28)/(DATE(YEAR(AJ28),12,31)-DATE(YEAR(AJ28),1,1)+1),(DATE(YEAR(AJ28)+1,1,1)-AJ28)/(DATE(YEAR(AJ28),12,31)-DATE(YEAR(AJ28),1,1)+1)+(AK28-DATE(YEAR(AK28),1,1))/(DATE(YEAR(AK28),12,31)-DATE(YEAR(AK28),1,1)+1)),2))</f>
        <v/>
      </c>
      <c r="AM28" t="str">
        <f>IF(AJ28="","",ROUND(AM27+AL28+IF(AK28&lt;'Навигатор накоплений'!F27,N('Навигатор накоплений'!G27),0),2))</f>
        <v/>
      </c>
      <c r="AO28" t="str">
        <f>IF('Навигатор накоплений'!A28="","",IF(22&lt;=DATEDIF('Навигатор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накоплений'!F28,1,0),AP27,""))</f>
        <v/>
      </c>
      <c r="AP28" t="str">
        <f>IF(AO28="","",MIN(EDATE('Навигатор накоплений'!E28,22),'Навигатор накоплений'!F28))</f>
        <v/>
      </c>
      <c r="AQ28" t="str">
        <f>IF(AO28="","",ROUND(AR27*'Навигатор накоплений'!D28*IF(YEAR(AO28)=YEAR(AP28-1),(AP28-AO28)/(DATE(YEAR(AO28),12,31)-DATE(YEAR(AO28),1,1)+1),(DATE(YEAR(AO28)+1,1,1)-AO28)/(DATE(YEAR(AO28),12,31)-DATE(YEAR(AO28),1,1)+1)+(AP28-DATE(YEAR(AP28),1,1))/(DATE(YEAR(AP28),12,31)-DATE(YEAR(AP28),1,1)+1)),2))</f>
        <v/>
      </c>
      <c r="AR28" t="str">
        <f>IF(AO28="","",ROUND(AR27+AQ28+IF(AP28&lt;'Навигатор накоплений'!F28,N('Навигатор накоплений'!G28),0),2))</f>
        <v/>
      </c>
      <c r="AT28">
        <f t="shared" si="0"/>
        <v>0</v>
      </c>
      <c r="AU28">
        <f t="shared" si="1"/>
        <v>0</v>
      </c>
      <c r="AV28">
        <f t="shared" si="2"/>
        <v>0</v>
      </c>
      <c r="AW28">
        <f t="shared" si="3"/>
        <v>0</v>
      </c>
      <c r="AX28">
        <f t="shared" si="4"/>
        <v>0</v>
      </c>
      <c r="AY28">
        <f t="shared" si="5"/>
        <v>0</v>
      </c>
      <c r="AZ28">
        <f t="shared" si="6"/>
        <v>0</v>
      </c>
      <c r="BA28"/>
      <c r="BB28"/>
      <c r="BD28"/>
      <c r="BE28"/>
      <c r="BF28"/>
      <c r="BG28"/>
    </row>
    <row r="29" spans="1:59" ht="15" x14ac:dyDescent="0.2">
      <c r="A29" s="43">
        <v>3</v>
      </c>
      <c r="B29" s="45" t="str">
        <f>IF('Навигатор накоплений'!A32="","",EDATE('Навигатор накоплений'!C32,A29-1))</f>
        <v/>
      </c>
      <c r="C29" s="45" t="str">
        <f>IF(B29="","",EDATE('Навигатор накоплений'!C32,A29))</f>
        <v/>
      </c>
      <c r="D29" s="46" t="str">
        <f t="shared" si="19"/>
        <v/>
      </c>
      <c r="E29" s="46" t="str">
        <f>IF(B29="","",N('Навигатор накоплений'!G32))</f>
        <v/>
      </c>
      <c r="F29" s="46" t="str">
        <f>IF(B29="","",IF('Навигатор накоплений'!F32="Ежедневный остаток",D29+E29,D29))</f>
        <v/>
      </c>
      <c r="G29" s="48" t="str">
        <f t="shared" si="17"/>
        <v/>
      </c>
      <c r="H29" s="46" t="str">
        <f>IF(B29="","",ROUND(F29*'Навигатор накоплений'!E32*IF(YEAR(B29)=YEAR(C29-1),(C29-B29)/(DATE(YEAR(B29),12,31)-DATE(YEAR(B29),1,1)+1),(DATE(YEAR(B29)+1,1,1)-B29)/(DATE(YEAR(B29),12,31)-DATE(YEAR(B29),1,1)+1)+(C29-DATE(YEAR(C29),1,1))/(DATE(YEAR(C29),12,31)-DATE(YEAR(C29),1,1)+1)),2))</f>
        <v/>
      </c>
      <c r="I29" s="46" t="str">
        <f t="shared" si="18"/>
        <v/>
      </c>
      <c r="K29" s="45" t="str">
        <f>IF('Навигатор накоплений'!A22="","",IF(23&lt;=DATEDIF('Навигатор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накоплений'!F22,1,0),L28,""))</f>
        <v/>
      </c>
      <c r="L29" s="45" t="str">
        <f>IF(K29="","",MIN(EDATE('Навигатор накоплений'!E22,23),'Навигатор накоплений'!F22))</f>
        <v/>
      </c>
      <c r="M29" s="46" t="str">
        <f>IF(K29="","",ROUND(N28*'Навигатор накоплений'!D22*IF(YEAR(K29)=YEAR(L29-1),(L29-K29)/(DATE(YEAR(K29),12,31)-DATE(YEAR(K29),1,1)+1),(DATE(YEAR(K29)+1,1,1)-K29)/(DATE(YEAR(K29),12,31)-DATE(YEAR(K29),1,1)+1)+(L29-DATE(YEAR(L29),1,1))/(DATE(YEAR(L29),12,31)-DATE(YEAR(L29),1,1)+1)),2))</f>
        <v/>
      </c>
      <c r="N29" s="46" t="str">
        <f>IF(K29="","",ROUND(N28+M29+IF(L29&lt;'Навигатор накоплений'!F22,N('Навигатор накоплений'!G22),0),2))</f>
        <v/>
      </c>
      <c r="P29" s="45" t="str">
        <f>IF('Навигатор накоплений'!A23="","",IF(23&lt;=DATEDIF('Навигатор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накоплений'!F23,1,0),Q28,""))</f>
        <v/>
      </c>
      <c r="Q29" s="45" t="str">
        <f>IF(P29="","",MIN(EDATE('Навигатор накоплений'!E23,23),'Навигатор накоплений'!F23))</f>
        <v/>
      </c>
      <c r="R29" s="46" t="str">
        <f>IF(P29="","",ROUND(S28*'Навигатор накоплений'!D23*IF(YEAR(P29)=YEAR(Q29-1),(Q29-P29)/(DATE(YEAR(P29),12,31)-DATE(YEAR(P29),1,1)+1),(DATE(YEAR(P29)+1,1,1)-P29)/(DATE(YEAR(P29),12,31)-DATE(YEAR(P29),1,1)+1)+(Q29-DATE(YEAR(Q29),1,1))/(DATE(YEAR(Q29),12,31)-DATE(YEAR(Q29),1,1)+1)),2))</f>
        <v/>
      </c>
      <c r="S29" s="46" t="str">
        <f>IF(P29="","",ROUND(S28+R29+IF(Q29&lt;'Навигатор накоплений'!F23,N('Навигатор накоплений'!G23),0),2))</f>
        <v/>
      </c>
      <c r="U29" s="45" t="str">
        <f>IF('Навигатор накоплений'!A24="","",IF(23&lt;=DATEDIF('Навигатор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накоплений'!F24,1,0),V28,""))</f>
        <v/>
      </c>
      <c r="V29" s="45" t="str">
        <f>IF(U29="","",MIN(EDATE('Навигатор накоплений'!E24,23),'Навигатор накоплений'!F24))</f>
        <v/>
      </c>
      <c r="W29" s="46" t="str">
        <f>IF(U29="","",ROUND(X28*'Навигатор накоплений'!D24*IF(YEAR(U29)=YEAR(V29-1),(V29-U29)/(DATE(YEAR(U29),12,31)-DATE(YEAR(U29),1,1)+1),(DATE(YEAR(U29)+1,1,1)-U29)/(DATE(YEAR(U29),12,31)-DATE(YEAR(U29),1,1)+1)+(V29-DATE(YEAR(V29),1,1))/(DATE(YEAR(V29),12,31)-DATE(YEAR(V29),1,1)+1)),2))</f>
        <v/>
      </c>
      <c r="X29" s="46" t="str">
        <f>IF(U29="","",ROUND(X28+W29+IF(V29&lt;'Навигатор накоплений'!F24,N('Навигатор накоплений'!G24),0),2))</f>
        <v/>
      </c>
      <c r="Z29" s="45" t="str">
        <f>IF('Навигатор накоплений'!A25="","",IF(23&lt;=DATEDIF('Навигатор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накоплений'!F25,1,0),AA28,""))</f>
        <v/>
      </c>
      <c r="AA29" s="45" t="str">
        <f>IF(Z29="","",MIN(EDATE('Навигатор накоплений'!E25,23),'Навигатор накоплений'!F25))</f>
        <v/>
      </c>
      <c r="AB29" s="46" t="str">
        <f>IF(Z29="","",ROUND(AC28*'Навигатор накоплений'!D25*IF(YEAR(Z29)=YEAR(AA29-1),(AA29-Z29)/(DATE(YEAR(Z29),12,31)-DATE(YEAR(Z29),1,1)+1),(DATE(YEAR(Z29)+1,1,1)-Z29)/(DATE(YEAR(Z29),12,31)-DATE(YEAR(Z29),1,1)+1)+(AA29-DATE(YEAR(AA29),1,1))/(DATE(YEAR(AA29),12,31)-DATE(YEAR(AA29),1,1)+1)),2))</f>
        <v/>
      </c>
      <c r="AC29" s="46" t="str">
        <f>IF(Z29="","",ROUND(AC28+AB29+IF(AA29&lt;'Навигатор накоплений'!F25,N('Навигатор накоплений'!G25),0),2))</f>
        <v/>
      </c>
      <c r="AE29" t="str">
        <f>IF('Навигатор накоплений'!A26="","",IF(23&lt;=DATEDIF('Навигатор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накоплений'!F26,1,0),AF28,""))</f>
        <v/>
      </c>
      <c r="AF29" t="str">
        <f>IF(AE29="","",MIN(EDATE('Навигатор накоплений'!E26,23),'Навигатор накоплений'!F26))</f>
        <v/>
      </c>
      <c r="AG29" t="str">
        <f>IF(AE29="","",ROUND(AH28*'Навигатор накоплений'!D26*IF(YEAR(AE29)=YEAR(AF29-1),(AF29-AE29)/(DATE(YEAR(AE29),12,31)-DATE(YEAR(AE29),1,1)+1),(DATE(YEAR(AE29)+1,1,1)-AE29)/(DATE(YEAR(AE29),12,31)-DATE(YEAR(AE29),1,1)+1)+(AF29-DATE(YEAR(AF29),1,1))/(DATE(YEAR(AF29),12,31)-DATE(YEAR(AF29),1,1)+1)),2))</f>
        <v/>
      </c>
      <c r="AH29" t="str">
        <f>IF(AE29="","",ROUND(AH28+AG29+IF(AF29&lt;'Навигатор накоплений'!F26,N('Навигатор накоплений'!G26),0),2))</f>
        <v/>
      </c>
      <c r="AJ29" t="str">
        <f>IF('Навигатор накоплений'!A27="","",IF(23&lt;=DATEDIF('Навигатор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накоплений'!F27,1,0),AK28,""))</f>
        <v/>
      </c>
      <c r="AK29" t="str">
        <f>IF(AJ29="","",MIN(EDATE('Навигатор накоплений'!E27,23),'Навигатор накоплений'!F27))</f>
        <v/>
      </c>
      <c r="AL29" t="str">
        <f>IF(AJ29="","",ROUND(AM28*'Навигатор накоплений'!D27*IF(YEAR(AJ29)=YEAR(AK29-1),(AK29-AJ29)/(DATE(YEAR(AJ29),12,31)-DATE(YEAR(AJ29),1,1)+1),(DATE(YEAR(AJ29)+1,1,1)-AJ29)/(DATE(YEAR(AJ29),12,31)-DATE(YEAR(AJ29),1,1)+1)+(AK29-DATE(YEAR(AK29),1,1))/(DATE(YEAR(AK29),12,31)-DATE(YEAR(AK29),1,1)+1)),2))</f>
        <v/>
      </c>
      <c r="AM29" t="str">
        <f>IF(AJ29="","",ROUND(AM28+AL29+IF(AK29&lt;'Навигатор накоплений'!F27,N('Навигатор накоплений'!G27),0),2))</f>
        <v/>
      </c>
      <c r="AO29" t="str">
        <f>IF('Навигатор накоплений'!A28="","",IF(23&lt;=DATEDIF('Навигатор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накоплений'!F28,1,0),AP28,""))</f>
        <v/>
      </c>
      <c r="AP29" t="str">
        <f>IF(AO29="","",MIN(EDATE('Навигатор накоплений'!E28,23),'Навигатор накоплений'!F28))</f>
        <v/>
      </c>
      <c r="AQ29" t="str">
        <f>IF(AO29="","",ROUND(AR28*'Навигатор накоплений'!D28*IF(YEAR(AO29)=YEAR(AP29-1),(AP29-AO29)/(DATE(YEAR(AO29),12,31)-DATE(YEAR(AO29),1,1)+1),(DATE(YEAR(AO29)+1,1,1)-AO29)/(DATE(YEAR(AO29),12,31)-DATE(YEAR(AO29),1,1)+1)+(AP29-DATE(YEAR(AP29),1,1))/(DATE(YEAR(AP29),12,31)-DATE(YEAR(AP29),1,1)+1)),2))</f>
        <v/>
      </c>
      <c r="AR29" t="str">
        <f>IF(AO29="","",ROUND(AR28+AQ29+IF(AP29&lt;'Навигатор накоплений'!F28,N('Навигатор накоплений'!G28),0),2))</f>
        <v/>
      </c>
      <c r="AT29">
        <f t="shared" si="0"/>
        <v>0</v>
      </c>
      <c r="AU29">
        <f t="shared" si="1"/>
        <v>0</v>
      </c>
      <c r="AV29">
        <f t="shared" si="2"/>
        <v>0</v>
      </c>
      <c r="AW29">
        <f t="shared" si="3"/>
        <v>0</v>
      </c>
      <c r="AX29">
        <f t="shared" si="4"/>
        <v>0</v>
      </c>
      <c r="AY29">
        <f t="shared" si="5"/>
        <v>0</v>
      </c>
      <c r="AZ29">
        <f t="shared" si="6"/>
        <v>0</v>
      </c>
      <c r="BA29"/>
      <c r="BB29"/>
      <c r="BD29"/>
      <c r="BE29"/>
      <c r="BF29"/>
      <c r="BG29"/>
    </row>
    <row r="30" spans="1:59" ht="15" x14ac:dyDescent="0.2">
      <c r="A30" s="43">
        <v>4</v>
      </c>
      <c r="B30" s="45" t="str">
        <f>IF('Навигатор накоплений'!A32="","",EDATE('Навигатор накоплений'!C32,A30-1))</f>
        <v/>
      </c>
      <c r="C30" s="45" t="str">
        <f>IF(B30="","",EDATE('Навигатор накоплений'!C32,A30))</f>
        <v/>
      </c>
      <c r="D30" s="46" t="str">
        <f t="shared" si="19"/>
        <v/>
      </c>
      <c r="E30" s="46" t="str">
        <f>IF(B30="","",N('Навигатор накоплений'!G32))</f>
        <v/>
      </c>
      <c r="F30" s="46" t="str">
        <f>IF(B30="","",IF('Навигатор накоплений'!F32="Ежедневный остаток",D30+E30,D30))</f>
        <v/>
      </c>
      <c r="G30" s="48" t="str">
        <f t="shared" si="17"/>
        <v/>
      </c>
      <c r="H30" s="46" t="str">
        <f>IF(B30="","",ROUND(F30*'Навигатор накоплений'!E32*IF(YEAR(B30)=YEAR(C30-1),(C30-B30)/(DATE(YEAR(B30),12,31)-DATE(YEAR(B30),1,1)+1),(DATE(YEAR(B30)+1,1,1)-B30)/(DATE(YEAR(B30),12,31)-DATE(YEAR(B30),1,1)+1)+(C30-DATE(YEAR(C30),1,1))/(DATE(YEAR(C30),12,31)-DATE(YEAR(C30),1,1)+1)),2))</f>
        <v/>
      </c>
      <c r="I30" s="46" t="str">
        <f t="shared" si="18"/>
        <v/>
      </c>
      <c r="K30" s="45" t="str">
        <f>IF('Навигатор накоплений'!A22="","",IF(24&lt;=DATEDIF('Навигатор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накоплений'!F22,1,0),L29,""))</f>
        <v/>
      </c>
      <c r="L30" s="45" t="str">
        <f>IF(K30="","",MIN(EDATE('Навигатор накоплений'!E22,24),'Навигатор накоплений'!F22))</f>
        <v/>
      </c>
      <c r="M30" s="46" t="str">
        <f>IF(K30="","",ROUND(N29*'Навигатор накоплений'!D22*IF(YEAR(K30)=YEAR(L30-1),(L30-K30)/(DATE(YEAR(K30),12,31)-DATE(YEAR(K30),1,1)+1),(DATE(YEAR(K30)+1,1,1)-K30)/(DATE(YEAR(K30),12,31)-DATE(YEAR(K30),1,1)+1)+(L30-DATE(YEAR(L30),1,1))/(DATE(YEAR(L30),12,31)-DATE(YEAR(L30),1,1)+1)),2))</f>
        <v/>
      </c>
      <c r="N30" s="46" t="str">
        <f>IF(K30="","",ROUND(N29+M30+IF(L30&lt;'Навигатор накоплений'!F22,N('Навигатор накоплений'!G22),0),2))</f>
        <v/>
      </c>
      <c r="P30" s="45" t="str">
        <f>IF('Навигатор накоплений'!A23="","",IF(24&lt;=DATEDIF('Навигатор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накоплений'!F23,1,0),Q29,""))</f>
        <v/>
      </c>
      <c r="Q30" s="45" t="str">
        <f>IF(P30="","",MIN(EDATE('Навигатор накоплений'!E23,24),'Навигатор накоплений'!F23))</f>
        <v/>
      </c>
      <c r="R30" s="46" t="str">
        <f>IF(P30="","",ROUND(S29*'Навигатор накоплений'!D23*IF(YEAR(P30)=YEAR(Q30-1),(Q30-P30)/(DATE(YEAR(P30),12,31)-DATE(YEAR(P30),1,1)+1),(DATE(YEAR(P30)+1,1,1)-P30)/(DATE(YEAR(P30),12,31)-DATE(YEAR(P30),1,1)+1)+(Q30-DATE(YEAR(Q30),1,1))/(DATE(YEAR(Q30),12,31)-DATE(YEAR(Q30),1,1)+1)),2))</f>
        <v/>
      </c>
      <c r="S30" s="46" t="str">
        <f>IF(P30="","",ROUND(S29+R30+IF(Q30&lt;'Навигатор накоплений'!F23,N('Навигатор накоплений'!G23),0),2))</f>
        <v/>
      </c>
      <c r="U30" s="45" t="str">
        <f>IF('Навигатор накоплений'!A24="","",IF(24&lt;=DATEDIF('Навигатор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накоплений'!F24,1,0),V29,""))</f>
        <v/>
      </c>
      <c r="V30" s="45" t="str">
        <f>IF(U30="","",MIN(EDATE('Навигатор накоплений'!E24,24),'Навигатор накоплений'!F24))</f>
        <v/>
      </c>
      <c r="W30" s="46" t="str">
        <f>IF(U30="","",ROUND(X29*'Навигатор накоплений'!D24*IF(YEAR(U30)=YEAR(V30-1),(V30-U30)/(DATE(YEAR(U30),12,31)-DATE(YEAR(U30),1,1)+1),(DATE(YEAR(U30)+1,1,1)-U30)/(DATE(YEAR(U30),12,31)-DATE(YEAR(U30),1,1)+1)+(V30-DATE(YEAR(V30),1,1))/(DATE(YEAR(V30),12,31)-DATE(YEAR(V30),1,1)+1)),2))</f>
        <v/>
      </c>
      <c r="X30" s="46" t="str">
        <f>IF(U30="","",ROUND(X29+W30+IF(V30&lt;'Навигатор накоплений'!F24,N('Навигатор накоплений'!G24),0),2))</f>
        <v/>
      </c>
      <c r="Z30" s="45" t="str">
        <f>IF('Навигатор накоплений'!A25="","",IF(24&lt;=DATEDIF('Навигатор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накоплений'!F25,1,0),AA29,""))</f>
        <v/>
      </c>
      <c r="AA30" s="45" t="str">
        <f>IF(Z30="","",MIN(EDATE('Навигатор накоплений'!E25,24),'Навигатор накоплений'!F25))</f>
        <v/>
      </c>
      <c r="AB30" s="46" t="str">
        <f>IF(Z30="","",ROUND(AC29*'Навигатор накоплений'!D25*IF(YEAR(Z30)=YEAR(AA30-1),(AA30-Z30)/(DATE(YEAR(Z30),12,31)-DATE(YEAR(Z30),1,1)+1),(DATE(YEAR(Z30)+1,1,1)-Z30)/(DATE(YEAR(Z30),12,31)-DATE(YEAR(Z30),1,1)+1)+(AA30-DATE(YEAR(AA30),1,1))/(DATE(YEAR(AA30),12,31)-DATE(YEAR(AA30),1,1)+1)),2))</f>
        <v/>
      </c>
      <c r="AC30" s="46" t="str">
        <f>IF(Z30="","",ROUND(AC29+AB30+IF(AA30&lt;'Навигатор накоплений'!F25,N('Навигатор накоплений'!G25),0),2))</f>
        <v/>
      </c>
      <c r="AE30" t="str">
        <f>IF('Навигатор накоплений'!A26="","",IF(24&lt;=DATEDIF('Навигатор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накоплений'!F26,1,0),AF29,""))</f>
        <v/>
      </c>
      <c r="AF30" t="str">
        <f>IF(AE30="","",MIN(EDATE('Навигатор накоплений'!E26,24),'Навигатор накоплений'!F26))</f>
        <v/>
      </c>
      <c r="AG30" t="str">
        <f>IF(AE30="","",ROUND(AH29*'Навигатор накоплений'!D26*IF(YEAR(AE30)=YEAR(AF30-1),(AF30-AE30)/(DATE(YEAR(AE30),12,31)-DATE(YEAR(AE30),1,1)+1),(DATE(YEAR(AE30)+1,1,1)-AE30)/(DATE(YEAR(AE30),12,31)-DATE(YEAR(AE30),1,1)+1)+(AF30-DATE(YEAR(AF30),1,1))/(DATE(YEAR(AF30),12,31)-DATE(YEAR(AF30),1,1)+1)),2))</f>
        <v/>
      </c>
      <c r="AH30" t="str">
        <f>IF(AE30="","",ROUND(AH29+AG30+IF(AF30&lt;'Навигатор накоплений'!F26,N('Навигатор накоплений'!G26),0),2))</f>
        <v/>
      </c>
      <c r="AJ30" t="str">
        <f>IF('Навигатор накоплений'!A27="","",IF(24&lt;=DATEDIF('Навигатор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накоплений'!F27,1,0),AK29,""))</f>
        <v/>
      </c>
      <c r="AK30" t="str">
        <f>IF(AJ30="","",MIN(EDATE('Навигатор накоплений'!E27,24),'Навигатор накоплений'!F27))</f>
        <v/>
      </c>
      <c r="AL30" t="str">
        <f>IF(AJ30="","",ROUND(AM29*'Навигатор накоплений'!D27*IF(YEAR(AJ30)=YEAR(AK30-1),(AK30-AJ30)/(DATE(YEAR(AJ30),12,31)-DATE(YEAR(AJ30),1,1)+1),(DATE(YEAR(AJ30)+1,1,1)-AJ30)/(DATE(YEAR(AJ30),12,31)-DATE(YEAR(AJ30),1,1)+1)+(AK30-DATE(YEAR(AK30),1,1))/(DATE(YEAR(AK30),12,31)-DATE(YEAR(AK30),1,1)+1)),2))</f>
        <v/>
      </c>
      <c r="AM30" t="str">
        <f>IF(AJ30="","",ROUND(AM29+AL30+IF(AK30&lt;'Навигатор накоплений'!F27,N('Навигатор накоплений'!G27),0),2))</f>
        <v/>
      </c>
      <c r="AO30" t="str">
        <f>IF('Навигатор накоплений'!A28="","",IF(24&lt;=DATEDIF('Навигатор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накоплений'!F28,1,0),AP29,""))</f>
        <v/>
      </c>
      <c r="AP30" t="str">
        <f>IF(AO30="","",MIN(EDATE('Навигатор накоплений'!E28,24),'Навигатор накоплений'!F28))</f>
        <v/>
      </c>
      <c r="AQ30" t="str">
        <f>IF(AO30="","",ROUND(AR29*'Навигатор накоплений'!D28*IF(YEAR(AO30)=YEAR(AP30-1),(AP30-AO30)/(DATE(YEAR(AO30),12,31)-DATE(YEAR(AO30),1,1)+1),(DATE(YEAR(AO30)+1,1,1)-AO30)/(DATE(YEAR(AO30),12,31)-DATE(YEAR(AO30),1,1)+1)+(AP30-DATE(YEAR(AP30),1,1))/(DATE(YEAR(AP30),12,31)-DATE(YEAR(AP30),1,1)+1)),2))</f>
        <v/>
      </c>
      <c r="AR30" t="str">
        <f>IF(AO30="","",ROUND(AR29+AQ30+IF(AP30&lt;'Навигатор накоплений'!F28,N('Навигатор накоплений'!G28),0),2))</f>
        <v/>
      </c>
      <c r="AT30">
        <f t="shared" si="0"/>
        <v>0</v>
      </c>
      <c r="AU30">
        <f t="shared" si="1"/>
        <v>0</v>
      </c>
      <c r="AV30">
        <f t="shared" si="2"/>
        <v>0</v>
      </c>
      <c r="AW30">
        <f t="shared" si="3"/>
        <v>0</v>
      </c>
      <c r="AX30">
        <f t="shared" si="4"/>
        <v>0</v>
      </c>
      <c r="AY30">
        <f t="shared" si="5"/>
        <v>0</v>
      </c>
      <c r="AZ30">
        <f t="shared" si="6"/>
        <v>0</v>
      </c>
      <c r="BA30"/>
      <c r="BB30"/>
      <c r="BD30"/>
      <c r="BE30"/>
      <c r="BF30"/>
      <c r="BG30"/>
    </row>
    <row r="31" spans="1:59" ht="15" x14ac:dyDescent="0.2">
      <c r="A31" s="43">
        <v>5</v>
      </c>
      <c r="B31" s="45" t="str">
        <f>IF('Навигатор накоплений'!A32="","",EDATE('Навигатор накоплений'!C32,A31-1))</f>
        <v/>
      </c>
      <c r="C31" s="45" t="str">
        <f>IF(B31="","",EDATE('Навигатор накоплений'!C32,A31))</f>
        <v/>
      </c>
      <c r="D31" s="46" t="str">
        <f t="shared" si="19"/>
        <v/>
      </c>
      <c r="E31" s="46" t="str">
        <f>IF(B31="","",N('Навигатор накоплений'!G32))</f>
        <v/>
      </c>
      <c r="F31" s="46" t="str">
        <f>IF(B31="","",IF('Навигатор накоплений'!F32="Ежедневный остаток",D31+E31,D31))</f>
        <v/>
      </c>
      <c r="G31" s="48" t="str">
        <f t="shared" si="17"/>
        <v/>
      </c>
      <c r="H31" s="46" t="str">
        <f>IF(B31="","",ROUND(F31*'Навигатор накоплений'!E32*IF(YEAR(B31)=YEAR(C31-1),(C31-B31)/(DATE(YEAR(B31),12,31)-DATE(YEAR(B31),1,1)+1),(DATE(YEAR(B31)+1,1,1)-B31)/(DATE(YEAR(B31),12,31)-DATE(YEAR(B31),1,1)+1)+(C31-DATE(YEAR(C31),1,1))/(DATE(YEAR(C31),12,31)-DATE(YEAR(C31),1,1)+1)),2))</f>
        <v/>
      </c>
      <c r="I31" s="46" t="str">
        <f t="shared" si="18"/>
        <v/>
      </c>
      <c r="K31" s="45" t="str">
        <f>IF('Навигатор накоплений'!A22="","",IF(25&lt;=DATEDIF('Навигатор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накоплений'!F22,1,0),L30,""))</f>
        <v/>
      </c>
      <c r="L31" s="45" t="str">
        <f>IF(K31="","",MIN(EDATE('Навигатор накоплений'!E22,25),'Навигатор накоплений'!F22))</f>
        <v/>
      </c>
      <c r="M31" s="46" t="str">
        <f>IF(K31="","",ROUND(N30*'Навигатор накоплений'!D22*IF(YEAR(K31)=YEAR(L31-1),(L31-K31)/(DATE(YEAR(K31),12,31)-DATE(YEAR(K31),1,1)+1),(DATE(YEAR(K31)+1,1,1)-K31)/(DATE(YEAR(K31),12,31)-DATE(YEAR(K31),1,1)+1)+(L31-DATE(YEAR(L31),1,1))/(DATE(YEAR(L31),12,31)-DATE(YEAR(L31),1,1)+1)),2))</f>
        <v/>
      </c>
      <c r="N31" s="46" t="str">
        <f>IF(K31="","",ROUND(N30+M31+IF(L31&lt;'Навигатор накоплений'!F22,N('Навигатор накоплений'!G22),0),2))</f>
        <v/>
      </c>
      <c r="P31" s="45" t="str">
        <f>IF('Навигатор накоплений'!A23="","",IF(25&lt;=DATEDIF('Навигатор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накоплений'!F23,1,0),Q30,""))</f>
        <v/>
      </c>
      <c r="Q31" s="45" t="str">
        <f>IF(P31="","",MIN(EDATE('Навигатор накоплений'!E23,25),'Навигатор накоплений'!F23))</f>
        <v/>
      </c>
      <c r="R31" s="46" t="str">
        <f>IF(P31="","",ROUND(S30*'Навигатор накоплений'!D23*IF(YEAR(P31)=YEAR(Q31-1),(Q31-P31)/(DATE(YEAR(P31),12,31)-DATE(YEAR(P31),1,1)+1),(DATE(YEAR(P31)+1,1,1)-P31)/(DATE(YEAR(P31),12,31)-DATE(YEAR(P31),1,1)+1)+(Q31-DATE(YEAR(Q31),1,1))/(DATE(YEAR(Q31),12,31)-DATE(YEAR(Q31),1,1)+1)),2))</f>
        <v/>
      </c>
      <c r="S31" s="46" t="str">
        <f>IF(P31="","",ROUND(S30+R31+IF(Q31&lt;'Навигатор накоплений'!F23,N('Навигатор накоплений'!G23),0),2))</f>
        <v/>
      </c>
      <c r="U31" s="45" t="str">
        <f>IF('Навигатор накоплений'!A24="","",IF(25&lt;=DATEDIF('Навигатор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накоплений'!F24,1,0),V30,""))</f>
        <v/>
      </c>
      <c r="V31" s="45" t="str">
        <f>IF(U31="","",MIN(EDATE('Навигатор накоплений'!E24,25),'Навигатор накоплений'!F24))</f>
        <v/>
      </c>
      <c r="W31" s="46" t="str">
        <f>IF(U31="","",ROUND(X30*'Навигатор накоплений'!D24*IF(YEAR(U31)=YEAR(V31-1),(V31-U31)/(DATE(YEAR(U31),12,31)-DATE(YEAR(U31),1,1)+1),(DATE(YEAR(U31)+1,1,1)-U31)/(DATE(YEAR(U31),12,31)-DATE(YEAR(U31),1,1)+1)+(V31-DATE(YEAR(V31),1,1))/(DATE(YEAR(V31),12,31)-DATE(YEAR(V31),1,1)+1)),2))</f>
        <v/>
      </c>
      <c r="X31" s="46" t="str">
        <f>IF(U31="","",ROUND(X30+W31+IF(V31&lt;'Навигатор накоплений'!F24,N('Навигатор накоплений'!G24),0),2))</f>
        <v/>
      </c>
      <c r="Z31" s="45" t="str">
        <f>IF('Навигатор накоплений'!A25="","",IF(25&lt;=DATEDIF('Навигатор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накоплений'!F25,1,0),AA30,""))</f>
        <v/>
      </c>
      <c r="AA31" s="45" t="str">
        <f>IF(Z31="","",MIN(EDATE('Навигатор накоплений'!E25,25),'Навигатор накоплений'!F25))</f>
        <v/>
      </c>
      <c r="AB31" s="46" t="str">
        <f>IF(Z31="","",ROUND(AC30*'Навигатор накоплений'!D25*IF(YEAR(Z31)=YEAR(AA31-1),(AA31-Z31)/(DATE(YEAR(Z31),12,31)-DATE(YEAR(Z31),1,1)+1),(DATE(YEAR(Z31)+1,1,1)-Z31)/(DATE(YEAR(Z31),12,31)-DATE(YEAR(Z31),1,1)+1)+(AA31-DATE(YEAR(AA31),1,1))/(DATE(YEAR(AA31),12,31)-DATE(YEAR(AA31),1,1)+1)),2))</f>
        <v/>
      </c>
      <c r="AC31" s="46" t="str">
        <f>IF(Z31="","",ROUND(AC30+AB31+IF(AA31&lt;'Навигатор накоплений'!F25,N('Навигатор накоплений'!G25),0),2))</f>
        <v/>
      </c>
      <c r="AE31" t="str">
        <f>IF('Навигатор накоплений'!A26="","",IF(25&lt;=DATEDIF('Навигатор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накоплений'!F26,1,0),AF30,""))</f>
        <v/>
      </c>
      <c r="AF31" t="str">
        <f>IF(AE31="","",MIN(EDATE('Навигатор накоплений'!E26,25),'Навигатор накоплений'!F26))</f>
        <v/>
      </c>
      <c r="AG31" t="str">
        <f>IF(AE31="","",ROUND(AH30*'Навигатор накоплений'!D26*IF(YEAR(AE31)=YEAR(AF31-1),(AF31-AE31)/(DATE(YEAR(AE31),12,31)-DATE(YEAR(AE31),1,1)+1),(DATE(YEAR(AE31)+1,1,1)-AE31)/(DATE(YEAR(AE31),12,31)-DATE(YEAR(AE31),1,1)+1)+(AF31-DATE(YEAR(AF31),1,1))/(DATE(YEAR(AF31),12,31)-DATE(YEAR(AF31),1,1)+1)),2))</f>
        <v/>
      </c>
      <c r="AH31" t="str">
        <f>IF(AE31="","",ROUND(AH30+AG31+IF(AF31&lt;'Навигатор накоплений'!F26,N('Навигатор накоплений'!G26),0),2))</f>
        <v/>
      </c>
      <c r="AJ31" t="str">
        <f>IF('Навигатор накоплений'!A27="","",IF(25&lt;=DATEDIF('Навигатор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накоплений'!F27,1,0),AK30,""))</f>
        <v/>
      </c>
      <c r="AK31" t="str">
        <f>IF(AJ31="","",MIN(EDATE('Навигатор накоплений'!E27,25),'Навигатор накоплений'!F27))</f>
        <v/>
      </c>
      <c r="AL31" t="str">
        <f>IF(AJ31="","",ROUND(AM30*'Навигатор накоплений'!D27*IF(YEAR(AJ31)=YEAR(AK31-1),(AK31-AJ31)/(DATE(YEAR(AJ31),12,31)-DATE(YEAR(AJ31),1,1)+1),(DATE(YEAR(AJ31)+1,1,1)-AJ31)/(DATE(YEAR(AJ31),12,31)-DATE(YEAR(AJ31),1,1)+1)+(AK31-DATE(YEAR(AK31),1,1))/(DATE(YEAR(AK31),12,31)-DATE(YEAR(AK31),1,1)+1)),2))</f>
        <v/>
      </c>
      <c r="AM31" t="str">
        <f>IF(AJ31="","",ROUND(AM30+AL31+IF(AK31&lt;'Навигатор накоплений'!F27,N('Навигатор накоплений'!G27),0),2))</f>
        <v/>
      </c>
      <c r="AO31" t="str">
        <f>IF('Навигатор накоплений'!A28="","",IF(25&lt;=DATEDIF('Навигатор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накоплений'!F28,1,0),AP30,""))</f>
        <v/>
      </c>
      <c r="AP31" t="str">
        <f>IF(AO31="","",MIN(EDATE('Навигатор накоплений'!E28,25),'Навигатор накоплений'!F28))</f>
        <v/>
      </c>
      <c r="AQ31" t="str">
        <f>IF(AO31="","",ROUND(AR30*'Навигатор накоплений'!D28*IF(YEAR(AO31)=YEAR(AP31-1),(AP31-AO31)/(DATE(YEAR(AO31),12,31)-DATE(YEAR(AO31),1,1)+1),(DATE(YEAR(AO31)+1,1,1)-AO31)/(DATE(YEAR(AO31),12,31)-DATE(YEAR(AO31),1,1)+1)+(AP31-DATE(YEAR(AP31),1,1))/(DATE(YEAR(AP31),12,31)-DATE(YEAR(AP31),1,1)+1)),2))</f>
        <v/>
      </c>
      <c r="AR31" t="str">
        <f>IF(AO31="","",ROUND(AR30+AQ31+IF(AP31&lt;'Навигатор накоплений'!F28,N('Навигатор накоплений'!G28),0),2))</f>
        <v/>
      </c>
      <c r="AT31">
        <f t="shared" si="0"/>
        <v>0</v>
      </c>
      <c r="AU31">
        <f t="shared" si="1"/>
        <v>0</v>
      </c>
      <c r="AV31">
        <f t="shared" si="2"/>
        <v>0</v>
      </c>
      <c r="AW31">
        <f t="shared" si="3"/>
        <v>0</v>
      </c>
      <c r="AX31">
        <f t="shared" si="4"/>
        <v>0</v>
      </c>
      <c r="AY31">
        <f t="shared" si="5"/>
        <v>0</v>
      </c>
      <c r="AZ31">
        <f t="shared" si="6"/>
        <v>0</v>
      </c>
      <c r="BA31"/>
      <c r="BB31"/>
      <c r="BD31"/>
      <c r="BE31"/>
      <c r="BF31"/>
      <c r="BG31"/>
    </row>
    <row r="32" spans="1:59" ht="15" x14ac:dyDescent="0.2">
      <c r="A32" s="43">
        <v>6</v>
      </c>
      <c r="B32" s="45" t="str">
        <f>IF('Навигатор накоплений'!A32="","",EDATE('Навигатор накоплений'!C32,A32-1))</f>
        <v/>
      </c>
      <c r="C32" s="45" t="str">
        <f>IF(B32="","",EDATE('Навигатор накоплений'!C32,A32))</f>
        <v/>
      </c>
      <c r="D32" s="46" t="str">
        <f t="shared" si="19"/>
        <v/>
      </c>
      <c r="E32" s="46" t="str">
        <f>IF(B32="","",N('Навигатор накоплений'!G32))</f>
        <v/>
      </c>
      <c r="F32" s="46" t="str">
        <f>IF(B32="","",IF('Навигатор накоплений'!F32="Ежедневный остаток",D32+E32,D32))</f>
        <v/>
      </c>
      <c r="G32" s="48" t="str">
        <f t="shared" si="17"/>
        <v/>
      </c>
      <c r="H32" s="46" t="str">
        <f>IF(B32="","",ROUND(F32*'Навигатор накоплений'!E32*IF(YEAR(B32)=YEAR(C32-1),(C32-B32)/(DATE(YEAR(B32),12,31)-DATE(YEAR(B32),1,1)+1),(DATE(YEAR(B32)+1,1,1)-B32)/(DATE(YEAR(B32),12,31)-DATE(YEAR(B32),1,1)+1)+(C32-DATE(YEAR(C32),1,1))/(DATE(YEAR(C32),12,31)-DATE(YEAR(C32),1,1)+1)),2))</f>
        <v/>
      </c>
      <c r="I32" s="46" t="str">
        <f t="shared" si="18"/>
        <v/>
      </c>
      <c r="K32" s="45" t="str">
        <f>IF('Навигатор накоплений'!A22="","",IF(26&lt;=DATEDIF('Навигатор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накоплений'!F22,1,0),L31,""))</f>
        <v/>
      </c>
      <c r="L32" s="45" t="str">
        <f>IF(K32="","",MIN(EDATE('Навигатор накоплений'!E22,26),'Навигатор накоплений'!F22))</f>
        <v/>
      </c>
      <c r="M32" s="46" t="str">
        <f>IF(K32="","",ROUND(N31*'Навигатор накоплений'!D22*IF(YEAR(K32)=YEAR(L32-1),(L32-K32)/(DATE(YEAR(K32),12,31)-DATE(YEAR(K32),1,1)+1),(DATE(YEAR(K32)+1,1,1)-K32)/(DATE(YEAR(K32),12,31)-DATE(YEAR(K32),1,1)+1)+(L32-DATE(YEAR(L32),1,1))/(DATE(YEAR(L32),12,31)-DATE(YEAR(L32),1,1)+1)),2))</f>
        <v/>
      </c>
      <c r="N32" s="46" t="str">
        <f>IF(K32="","",ROUND(N31+M32+IF(L32&lt;'Навигатор накоплений'!F22,N('Навигатор накоплений'!G22),0),2))</f>
        <v/>
      </c>
      <c r="P32" s="45" t="str">
        <f>IF('Навигатор накоплений'!A23="","",IF(26&lt;=DATEDIF('Навигатор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накоплений'!F23,1,0),Q31,""))</f>
        <v/>
      </c>
      <c r="Q32" s="45" t="str">
        <f>IF(P32="","",MIN(EDATE('Навигатор накоплений'!E23,26),'Навигатор накоплений'!F23))</f>
        <v/>
      </c>
      <c r="R32" s="46" t="str">
        <f>IF(P32="","",ROUND(S31*'Навигатор накоплений'!D23*IF(YEAR(P32)=YEAR(Q32-1),(Q32-P32)/(DATE(YEAR(P32),12,31)-DATE(YEAR(P32),1,1)+1),(DATE(YEAR(P32)+1,1,1)-P32)/(DATE(YEAR(P32),12,31)-DATE(YEAR(P32),1,1)+1)+(Q32-DATE(YEAR(Q32),1,1))/(DATE(YEAR(Q32),12,31)-DATE(YEAR(Q32),1,1)+1)),2))</f>
        <v/>
      </c>
      <c r="S32" s="46" t="str">
        <f>IF(P32="","",ROUND(S31+R32+IF(Q32&lt;'Навигатор накоплений'!F23,N('Навигатор накоплений'!G23),0),2))</f>
        <v/>
      </c>
      <c r="U32" s="45" t="str">
        <f>IF('Навигатор накоплений'!A24="","",IF(26&lt;=DATEDIF('Навигатор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накоплений'!F24,1,0),V31,""))</f>
        <v/>
      </c>
      <c r="V32" s="45" t="str">
        <f>IF(U32="","",MIN(EDATE('Навигатор накоплений'!E24,26),'Навигатор накоплений'!F24))</f>
        <v/>
      </c>
      <c r="W32" s="46" t="str">
        <f>IF(U32="","",ROUND(X31*'Навигатор накоплений'!D24*IF(YEAR(U32)=YEAR(V32-1),(V32-U32)/(DATE(YEAR(U32),12,31)-DATE(YEAR(U32),1,1)+1),(DATE(YEAR(U32)+1,1,1)-U32)/(DATE(YEAR(U32),12,31)-DATE(YEAR(U32),1,1)+1)+(V32-DATE(YEAR(V32),1,1))/(DATE(YEAR(V32),12,31)-DATE(YEAR(V32),1,1)+1)),2))</f>
        <v/>
      </c>
      <c r="X32" s="46" t="str">
        <f>IF(U32="","",ROUND(X31+W32+IF(V32&lt;'Навигатор накоплений'!F24,N('Навигатор накоплений'!G24),0),2))</f>
        <v/>
      </c>
      <c r="Z32" s="45" t="str">
        <f>IF('Навигатор накоплений'!A25="","",IF(26&lt;=DATEDIF('Навигатор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накоплений'!F25,1,0),AA31,""))</f>
        <v/>
      </c>
      <c r="AA32" s="45" t="str">
        <f>IF(Z32="","",MIN(EDATE('Навигатор накоплений'!E25,26),'Навигатор накоплений'!F25))</f>
        <v/>
      </c>
      <c r="AB32" s="46" t="str">
        <f>IF(Z32="","",ROUND(AC31*'Навигатор накоплений'!D25*IF(YEAR(Z32)=YEAR(AA32-1),(AA32-Z32)/(DATE(YEAR(Z32),12,31)-DATE(YEAR(Z32),1,1)+1),(DATE(YEAR(Z32)+1,1,1)-Z32)/(DATE(YEAR(Z32),12,31)-DATE(YEAR(Z32),1,1)+1)+(AA32-DATE(YEAR(AA32),1,1))/(DATE(YEAR(AA32),12,31)-DATE(YEAR(AA32),1,1)+1)),2))</f>
        <v/>
      </c>
      <c r="AC32" s="46" t="str">
        <f>IF(Z32="","",ROUND(AC31+AB32+IF(AA32&lt;'Навигатор накоплений'!F25,N('Навигатор накоплений'!G25),0),2))</f>
        <v/>
      </c>
      <c r="AE32" t="str">
        <f>IF('Навигатор накоплений'!A26="","",IF(26&lt;=DATEDIF('Навигатор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накоплений'!F26,1,0),AF31,""))</f>
        <v/>
      </c>
      <c r="AF32" t="str">
        <f>IF(AE32="","",MIN(EDATE('Навигатор накоплений'!E26,26),'Навигатор накоплений'!F26))</f>
        <v/>
      </c>
      <c r="AG32" t="str">
        <f>IF(AE32="","",ROUND(AH31*'Навигатор накоплений'!D26*IF(YEAR(AE32)=YEAR(AF32-1),(AF32-AE32)/(DATE(YEAR(AE32),12,31)-DATE(YEAR(AE32),1,1)+1),(DATE(YEAR(AE32)+1,1,1)-AE32)/(DATE(YEAR(AE32),12,31)-DATE(YEAR(AE32),1,1)+1)+(AF32-DATE(YEAR(AF32),1,1))/(DATE(YEAR(AF32),12,31)-DATE(YEAR(AF32),1,1)+1)),2))</f>
        <v/>
      </c>
      <c r="AH32" t="str">
        <f>IF(AE32="","",ROUND(AH31+AG32+IF(AF32&lt;'Навигатор накоплений'!F26,N('Навигатор накоплений'!G26),0),2))</f>
        <v/>
      </c>
      <c r="AJ32" t="str">
        <f>IF('Навигатор накоплений'!A27="","",IF(26&lt;=DATEDIF('Навигатор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накоплений'!F27,1,0),AK31,""))</f>
        <v/>
      </c>
      <c r="AK32" t="str">
        <f>IF(AJ32="","",MIN(EDATE('Навигатор накоплений'!E27,26),'Навигатор накоплений'!F27))</f>
        <v/>
      </c>
      <c r="AL32" t="str">
        <f>IF(AJ32="","",ROUND(AM31*'Навигатор накоплений'!D27*IF(YEAR(AJ32)=YEAR(AK32-1),(AK32-AJ32)/(DATE(YEAR(AJ32),12,31)-DATE(YEAR(AJ32),1,1)+1),(DATE(YEAR(AJ32)+1,1,1)-AJ32)/(DATE(YEAR(AJ32),12,31)-DATE(YEAR(AJ32),1,1)+1)+(AK32-DATE(YEAR(AK32),1,1))/(DATE(YEAR(AK32),12,31)-DATE(YEAR(AK32),1,1)+1)),2))</f>
        <v/>
      </c>
      <c r="AM32" t="str">
        <f>IF(AJ32="","",ROUND(AM31+AL32+IF(AK32&lt;'Навигатор накоплений'!F27,N('Навигатор накоплений'!G27),0),2))</f>
        <v/>
      </c>
      <c r="AO32" t="str">
        <f>IF('Навигатор накоплений'!A28="","",IF(26&lt;=DATEDIF('Навигатор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накоплений'!F28,1,0),AP31,""))</f>
        <v/>
      </c>
      <c r="AP32" t="str">
        <f>IF(AO32="","",MIN(EDATE('Навигатор накоплений'!E28,26),'Навигатор накоплений'!F28))</f>
        <v/>
      </c>
      <c r="AQ32" t="str">
        <f>IF(AO32="","",ROUND(AR31*'Навигатор накоплений'!D28*IF(YEAR(AO32)=YEAR(AP32-1),(AP32-AO32)/(DATE(YEAR(AO32),12,31)-DATE(YEAR(AO32),1,1)+1),(DATE(YEAR(AO32)+1,1,1)-AO32)/(DATE(YEAR(AO32),12,31)-DATE(YEAR(AO32),1,1)+1)+(AP32-DATE(YEAR(AP32),1,1))/(DATE(YEAR(AP32),12,31)-DATE(YEAR(AP32),1,1)+1)),2))</f>
        <v/>
      </c>
      <c r="AR32" t="str">
        <f>IF(AO32="","",ROUND(AR31+AQ32+IF(AP32&lt;'Навигатор накоплений'!F28,N('Навигатор накоплений'!G28),0),2))</f>
        <v/>
      </c>
      <c r="AT32">
        <f t="shared" si="0"/>
        <v>0</v>
      </c>
      <c r="AU32">
        <f t="shared" si="1"/>
        <v>0</v>
      </c>
      <c r="AV32">
        <f t="shared" si="2"/>
        <v>0</v>
      </c>
      <c r="AW32">
        <f t="shared" si="3"/>
        <v>0</v>
      </c>
      <c r="AX32">
        <f t="shared" si="4"/>
        <v>0</v>
      </c>
      <c r="AY32">
        <f t="shared" si="5"/>
        <v>0</v>
      </c>
      <c r="AZ32">
        <f t="shared" si="6"/>
        <v>0</v>
      </c>
      <c r="BA32"/>
      <c r="BB32"/>
      <c r="BD32"/>
      <c r="BE32"/>
      <c r="BF32"/>
      <c r="BG32"/>
    </row>
    <row r="33" spans="1:59" ht="15" x14ac:dyDescent="0.2">
      <c r="A33" s="43">
        <v>7</v>
      </c>
      <c r="B33" s="45" t="str">
        <f>IF('Навигатор накоплений'!A32="","",EDATE('Навигатор накоплений'!C32,A33-1))</f>
        <v/>
      </c>
      <c r="C33" s="45" t="str">
        <f>IF(B33="","",EDATE('Навигатор накоплений'!C32,A33))</f>
        <v/>
      </c>
      <c r="D33" s="46" t="str">
        <f t="shared" si="19"/>
        <v/>
      </c>
      <c r="E33" s="46" t="str">
        <f>IF(B33="","",N('Навигатор накоплений'!G32))</f>
        <v/>
      </c>
      <c r="F33" s="46" t="str">
        <f>IF(B33="","",IF('Навигатор накоплений'!F32="Ежедневный остаток",D33+E33,D33))</f>
        <v/>
      </c>
      <c r="G33" s="48" t="str">
        <f t="shared" si="17"/>
        <v/>
      </c>
      <c r="H33" s="46" t="str">
        <f>IF(B33="","",ROUND(F33*'Навигатор накоплений'!E32*IF(YEAR(B33)=YEAR(C33-1),(C33-B33)/(DATE(YEAR(B33),12,31)-DATE(YEAR(B33),1,1)+1),(DATE(YEAR(B33)+1,1,1)-B33)/(DATE(YEAR(B33),12,31)-DATE(YEAR(B33),1,1)+1)+(C33-DATE(YEAR(C33),1,1))/(DATE(YEAR(C33),12,31)-DATE(YEAR(C33),1,1)+1)),2))</f>
        <v/>
      </c>
      <c r="I33" s="46" t="str">
        <f t="shared" si="18"/>
        <v/>
      </c>
      <c r="K33" s="45" t="str">
        <f>IF('Навигатор накоплений'!A22="","",IF(27&lt;=DATEDIF('Навигатор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накоплений'!F22,1,0),L32,""))</f>
        <v/>
      </c>
      <c r="L33" s="45" t="str">
        <f>IF(K33="","",MIN(EDATE('Навигатор накоплений'!E22,27),'Навигатор накоплений'!F22))</f>
        <v/>
      </c>
      <c r="M33" s="46" t="str">
        <f>IF(K33="","",ROUND(N32*'Навигатор накоплений'!D22*IF(YEAR(K33)=YEAR(L33-1),(L33-K33)/(DATE(YEAR(K33),12,31)-DATE(YEAR(K33),1,1)+1),(DATE(YEAR(K33)+1,1,1)-K33)/(DATE(YEAR(K33),12,31)-DATE(YEAR(K33),1,1)+1)+(L33-DATE(YEAR(L33),1,1))/(DATE(YEAR(L33),12,31)-DATE(YEAR(L33),1,1)+1)),2))</f>
        <v/>
      </c>
      <c r="N33" s="46" t="str">
        <f>IF(K33="","",ROUND(N32+M33+IF(L33&lt;'Навигатор накоплений'!F22,N('Навигатор накоплений'!G22),0),2))</f>
        <v/>
      </c>
      <c r="P33" s="45" t="str">
        <f>IF('Навигатор накоплений'!A23="","",IF(27&lt;=DATEDIF('Навигатор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накоплений'!F23,1,0),Q32,""))</f>
        <v/>
      </c>
      <c r="Q33" s="45" t="str">
        <f>IF(P33="","",MIN(EDATE('Навигатор накоплений'!E23,27),'Навигатор накоплений'!F23))</f>
        <v/>
      </c>
      <c r="R33" s="46" t="str">
        <f>IF(P33="","",ROUND(S32*'Навигатор накоплений'!D23*IF(YEAR(P33)=YEAR(Q33-1),(Q33-P33)/(DATE(YEAR(P33),12,31)-DATE(YEAR(P33),1,1)+1),(DATE(YEAR(P33)+1,1,1)-P33)/(DATE(YEAR(P33),12,31)-DATE(YEAR(P33),1,1)+1)+(Q33-DATE(YEAR(Q33),1,1))/(DATE(YEAR(Q33),12,31)-DATE(YEAR(Q33),1,1)+1)),2))</f>
        <v/>
      </c>
      <c r="S33" s="46" t="str">
        <f>IF(P33="","",ROUND(S32+R33+IF(Q33&lt;'Навигатор накоплений'!F23,N('Навигатор накоплений'!G23),0),2))</f>
        <v/>
      </c>
      <c r="U33" s="45" t="str">
        <f>IF('Навигатор накоплений'!A24="","",IF(27&lt;=DATEDIF('Навигатор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накоплений'!F24,1,0),V32,""))</f>
        <v/>
      </c>
      <c r="V33" s="45" t="str">
        <f>IF(U33="","",MIN(EDATE('Навигатор накоплений'!E24,27),'Навигатор накоплений'!F24))</f>
        <v/>
      </c>
      <c r="W33" s="46" t="str">
        <f>IF(U33="","",ROUND(X32*'Навигатор накоплений'!D24*IF(YEAR(U33)=YEAR(V33-1),(V33-U33)/(DATE(YEAR(U33),12,31)-DATE(YEAR(U33),1,1)+1),(DATE(YEAR(U33)+1,1,1)-U33)/(DATE(YEAR(U33),12,31)-DATE(YEAR(U33),1,1)+1)+(V33-DATE(YEAR(V33),1,1))/(DATE(YEAR(V33),12,31)-DATE(YEAR(V33),1,1)+1)),2))</f>
        <v/>
      </c>
      <c r="X33" s="46" t="str">
        <f>IF(U33="","",ROUND(X32+W33+IF(V33&lt;'Навигатор накоплений'!F24,N('Навигатор накоплений'!G24),0),2))</f>
        <v/>
      </c>
      <c r="Z33" s="45" t="str">
        <f>IF('Навигатор накоплений'!A25="","",IF(27&lt;=DATEDIF('Навигатор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накоплений'!F25,1,0),AA32,""))</f>
        <v/>
      </c>
      <c r="AA33" s="45" t="str">
        <f>IF(Z33="","",MIN(EDATE('Навигатор накоплений'!E25,27),'Навигатор накоплений'!F25))</f>
        <v/>
      </c>
      <c r="AB33" s="46" t="str">
        <f>IF(Z33="","",ROUND(AC32*'Навигатор накоплений'!D25*IF(YEAR(Z33)=YEAR(AA33-1),(AA33-Z33)/(DATE(YEAR(Z33),12,31)-DATE(YEAR(Z33),1,1)+1),(DATE(YEAR(Z33)+1,1,1)-Z33)/(DATE(YEAR(Z33),12,31)-DATE(YEAR(Z33),1,1)+1)+(AA33-DATE(YEAR(AA33),1,1))/(DATE(YEAR(AA33),12,31)-DATE(YEAR(AA33),1,1)+1)),2))</f>
        <v/>
      </c>
      <c r="AC33" s="46" t="str">
        <f>IF(Z33="","",ROUND(AC32+AB33+IF(AA33&lt;'Навигатор накоплений'!F25,N('Навигатор накоплений'!G25),0),2))</f>
        <v/>
      </c>
      <c r="AE33" t="str">
        <f>IF('Навигатор накоплений'!A26="","",IF(27&lt;=DATEDIF('Навигатор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накоплений'!F26,1,0),AF32,""))</f>
        <v/>
      </c>
      <c r="AF33" t="str">
        <f>IF(AE33="","",MIN(EDATE('Навигатор накоплений'!E26,27),'Навигатор накоплений'!F26))</f>
        <v/>
      </c>
      <c r="AG33" t="str">
        <f>IF(AE33="","",ROUND(AH32*'Навигатор накоплений'!D26*IF(YEAR(AE33)=YEAR(AF33-1),(AF33-AE33)/(DATE(YEAR(AE33),12,31)-DATE(YEAR(AE33),1,1)+1),(DATE(YEAR(AE33)+1,1,1)-AE33)/(DATE(YEAR(AE33),12,31)-DATE(YEAR(AE33),1,1)+1)+(AF33-DATE(YEAR(AF33),1,1))/(DATE(YEAR(AF33),12,31)-DATE(YEAR(AF33),1,1)+1)),2))</f>
        <v/>
      </c>
      <c r="AH33" t="str">
        <f>IF(AE33="","",ROUND(AH32+AG33+IF(AF33&lt;'Навигатор накоплений'!F26,N('Навигатор накоплений'!G26),0),2))</f>
        <v/>
      </c>
      <c r="AJ33" t="str">
        <f>IF('Навигатор накоплений'!A27="","",IF(27&lt;=DATEDIF('Навигатор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накоплений'!F27,1,0),AK32,""))</f>
        <v/>
      </c>
      <c r="AK33" t="str">
        <f>IF(AJ33="","",MIN(EDATE('Навигатор накоплений'!E27,27),'Навигатор накоплений'!F27))</f>
        <v/>
      </c>
      <c r="AL33" t="str">
        <f>IF(AJ33="","",ROUND(AM32*'Навигатор накоплений'!D27*IF(YEAR(AJ33)=YEAR(AK33-1),(AK33-AJ33)/(DATE(YEAR(AJ33),12,31)-DATE(YEAR(AJ33),1,1)+1),(DATE(YEAR(AJ33)+1,1,1)-AJ33)/(DATE(YEAR(AJ33),12,31)-DATE(YEAR(AJ33),1,1)+1)+(AK33-DATE(YEAR(AK33),1,1))/(DATE(YEAR(AK33),12,31)-DATE(YEAR(AK33),1,1)+1)),2))</f>
        <v/>
      </c>
      <c r="AM33" t="str">
        <f>IF(AJ33="","",ROUND(AM32+AL33+IF(AK33&lt;'Навигатор накоплений'!F27,N('Навигатор накоплений'!G27),0),2))</f>
        <v/>
      </c>
      <c r="AO33" t="str">
        <f>IF('Навигатор накоплений'!A28="","",IF(27&lt;=DATEDIF('Навигатор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накоплений'!F28,1,0),AP32,""))</f>
        <v/>
      </c>
      <c r="AP33" t="str">
        <f>IF(AO33="","",MIN(EDATE('Навигатор накоплений'!E28,27),'Навигатор накоплений'!F28))</f>
        <v/>
      </c>
      <c r="AQ33" t="str">
        <f>IF(AO33="","",ROUND(AR32*'Навигатор накоплений'!D28*IF(YEAR(AO33)=YEAR(AP33-1),(AP33-AO33)/(DATE(YEAR(AO33),12,31)-DATE(YEAR(AO33),1,1)+1),(DATE(YEAR(AO33)+1,1,1)-AO33)/(DATE(YEAR(AO33),12,31)-DATE(YEAR(AO33),1,1)+1)+(AP33-DATE(YEAR(AP33),1,1))/(DATE(YEAR(AP33),12,31)-DATE(YEAR(AP33),1,1)+1)),2))</f>
        <v/>
      </c>
      <c r="AR33" t="str">
        <f>IF(AO33="","",ROUND(AR32+AQ33+IF(AP33&lt;'Навигатор накоплений'!F28,N('Навигатор накоплений'!G28),0),2))</f>
        <v/>
      </c>
      <c r="AT33">
        <f t="shared" si="0"/>
        <v>0</v>
      </c>
      <c r="AU33">
        <f t="shared" si="1"/>
        <v>0</v>
      </c>
      <c r="AV33">
        <f t="shared" si="2"/>
        <v>0</v>
      </c>
      <c r="AW33">
        <f t="shared" si="3"/>
        <v>0</v>
      </c>
      <c r="AX33">
        <f t="shared" si="4"/>
        <v>0</v>
      </c>
      <c r="AY33">
        <f t="shared" si="5"/>
        <v>0</v>
      </c>
      <c r="AZ33">
        <f t="shared" si="6"/>
        <v>0</v>
      </c>
      <c r="BA33"/>
      <c r="BB33"/>
      <c r="BD33"/>
      <c r="BE33"/>
      <c r="BF33"/>
      <c r="BG33"/>
    </row>
    <row r="34" spans="1:59" ht="15" x14ac:dyDescent="0.2">
      <c r="A34" s="43">
        <v>8</v>
      </c>
      <c r="B34" s="45" t="str">
        <f>IF('Навигатор накоплений'!A32="","",EDATE('Навигатор накоплений'!C32,A34-1))</f>
        <v/>
      </c>
      <c r="C34" s="45" t="str">
        <f>IF(B34="","",EDATE('Навигатор накоплений'!C32,A34))</f>
        <v/>
      </c>
      <c r="D34" s="46" t="str">
        <f t="shared" si="19"/>
        <v/>
      </c>
      <c r="E34" s="46" t="str">
        <f>IF(B34="","",N('Навигатор накоплений'!G32))</f>
        <v/>
      </c>
      <c r="F34" s="46" t="str">
        <f>IF(B34="","",IF('Навигатор накоплений'!F32="Ежедневный остаток",D34+E34,D34))</f>
        <v/>
      </c>
      <c r="G34" s="48" t="str">
        <f t="shared" si="17"/>
        <v/>
      </c>
      <c r="H34" s="46" t="str">
        <f>IF(B34="","",ROUND(F34*'Навигатор накоплений'!E32*IF(YEAR(B34)=YEAR(C34-1),(C34-B34)/(DATE(YEAR(B34),12,31)-DATE(YEAR(B34),1,1)+1),(DATE(YEAR(B34)+1,1,1)-B34)/(DATE(YEAR(B34),12,31)-DATE(YEAR(B34),1,1)+1)+(C34-DATE(YEAR(C34),1,1))/(DATE(YEAR(C34),12,31)-DATE(YEAR(C34),1,1)+1)),2))</f>
        <v/>
      </c>
      <c r="I34" s="46" t="str">
        <f t="shared" si="18"/>
        <v/>
      </c>
      <c r="K34" s="45" t="str">
        <f>IF('Навигатор накоплений'!A22="","",IF(28&lt;=DATEDIF('Навигатор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накоплений'!F22,1,0),L33,""))</f>
        <v/>
      </c>
      <c r="L34" s="45" t="str">
        <f>IF(K34="","",MIN(EDATE('Навигатор накоплений'!E22,28),'Навигатор накоплений'!F22))</f>
        <v/>
      </c>
      <c r="M34" s="46" t="str">
        <f>IF(K34="","",ROUND(N33*'Навигатор накоплений'!D22*IF(YEAR(K34)=YEAR(L34-1),(L34-K34)/(DATE(YEAR(K34),12,31)-DATE(YEAR(K34),1,1)+1),(DATE(YEAR(K34)+1,1,1)-K34)/(DATE(YEAR(K34),12,31)-DATE(YEAR(K34),1,1)+1)+(L34-DATE(YEAR(L34),1,1))/(DATE(YEAR(L34),12,31)-DATE(YEAR(L34),1,1)+1)),2))</f>
        <v/>
      </c>
      <c r="N34" s="46" t="str">
        <f>IF(K34="","",ROUND(N33+M34+IF(L34&lt;'Навигатор накоплений'!F22,N('Навигатор накоплений'!G22),0),2))</f>
        <v/>
      </c>
      <c r="P34" s="45" t="str">
        <f>IF('Навигатор накоплений'!A23="","",IF(28&lt;=DATEDIF('Навигатор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накоплений'!F23,1,0),Q33,""))</f>
        <v/>
      </c>
      <c r="Q34" s="45" t="str">
        <f>IF(P34="","",MIN(EDATE('Навигатор накоплений'!E23,28),'Навигатор накоплений'!F23))</f>
        <v/>
      </c>
      <c r="R34" s="46" t="str">
        <f>IF(P34="","",ROUND(S33*'Навигатор накоплений'!D23*IF(YEAR(P34)=YEAR(Q34-1),(Q34-P34)/(DATE(YEAR(P34),12,31)-DATE(YEAR(P34),1,1)+1),(DATE(YEAR(P34)+1,1,1)-P34)/(DATE(YEAR(P34),12,31)-DATE(YEAR(P34),1,1)+1)+(Q34-DATE(YEAR(Q34),1,1))/(DATE(YEAR(Q34),12,31)-DATE(YEAR(Q34),1,1)+1)),2))</f>
        <v/>
      </c>
      <c r="S34" s="46" t="str">
        <f>IF(P34="","",ROUND(S33+R34+IF(Q34&lt;'Навигатор накоплений'!F23,N('Навигатор накоплений'!G23),0),2))</f>
        <v/>
      </c>
      <c r="U34" s="45" t="str">
        <f>IF('Навигатор накоплений'!A24="","",IF(28&lt;=DATEDIF('Навигатор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накоплений'!F24,1,0),V33,""))</f>
        <v/>
      </c>
      <c r="V34" s="45" t="str">
        <f>IF(U34="","",MIN(EDATE('Навигатор накоплений'!E24,28),'Навигатор накоплений'!F24))</f>
        <v/>
      </c>
      <c r="W34" s="46" t="str">
        <f>IF(U34="","",ROUND(X33*'Навигатор накоплений'!D24*IF(YEAR(U34)=YEAR(V34-1),(V34-U34)/(DATE(YEAR(U34),12,31)-DATE(YEAR(U34),1,1)+1),(DATE(YEAR(U34)+1,1,1)-U34)/(DATE(YEAR(U34),12,31)-DATE(YEAR(U34),1,1)+1)+(V34-DATE(YEAR(V34),1,1))/(DATE(YEAR(V34),12,31)-DATE(YEAR(V34),1,1)+1)),2))</f>
        <v/>
      </c>
      <c r="X34" s="46" t="str">
        <f>IF(U34="","",ROUND(X33+W34+IF(V34&lt;'Навигатор накоплений'!F24,N('Навигатор накоплений'!G24),0),2))</f>
        <v/>
      </c>
      <c r="Z34" s="45" t="str">
        <f>IF('Навигатор накоплений'!A25="","",IF(28&lt;=DATEDIF('Навигатор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накоплений'!F25,1,0),AA33,""))</f>
        <v/>
      </c>
      <c r="AA34" s="45" t="str">
        <f>IF(Z34="","",MIN(EDATE('Навигатор накоплений'!E25,28),'Навигатор накоплений'!F25))</f>
        <v/>
      </c>
      <c r="AB34" s="46" t="str">
        <f>IF(Z34="","",ROUND(AC33*'Навигатор накоплений'!D25*IF(YEAR(Z34)=YEAR(AA34-1),(AA34-Z34)/(DATE(YEAR(Z34),12,31)-DATE(YEAR(Z34),1,1)+1),(DATE(YEAR(Z34)+1,1,1)-Z34)/(DATE(YEAR(Z34),12,31)-DATE(YEAR(Z34),1,1)+1)+(AA34-DATE(YEAR(AA34),1,1))/(DATE(YEAR(AA34),12,31)-DATE(YEAR(AA34),1,1)+1)),2))</f>
        <v/>
      </c>
      <c r="AC34" s="46" t="str">
        <f>IF(Z34="","",ROUND(AC33+AB34+IF(AA34&lt;'Навигатор накоплений'!F25,N('Навигатор накоплений'!G25),0),2))</f>
        <v/>
      </c>
      <c r="AE34" t="str">
        <f>IF('Навигатор накоплений'!A26="","",IF(28&lt;=DATEDIF('Навигатор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накоплений'!F26,1,0),AF33,""))</f>
        <v/>
      </c>
      <c r="AF34" t="str">
        <f>IF(AE34="","",MIN(EDATE('Навигатор накоплений'!E26,28),'Навигатор накоплений'!F26))</f>
        <v/>
      </c>
      <c r="AG34" t="str">
        <f>IF(AE34="","",ROUND(AH33*'Навигатор накоплений'!D26*IF(YEAR(AE34)=YEAR(AF34-1),(AF34-AE34)/(DATE(YEAR(AE34),12,31)-DATE(YEAR(AE34),1,1)+1),(DATE(YEAR(AE34)+1,1,1)-AE34)/(DATE(YEAR(AE34),12,31)-DATE(YEAR(AE34),1,1)+1)+(AF34-DATE(YEAR(AF34),1,1))/(DATE(YEAR(AF34),12,31)-DATE(YEAR(AF34),1,1)+1)),2))</f>
        <v/>
      </c>
      <c r="AH34" t="str">
        <f>IF(AE34="","",ROUND(AH33+AG34+IF(AF34&lt;'Навигатор накоплений'!F26,N('Навигатор накоплений'!G26),0),2))</f>
        <v/>
      </c>
      <c r="AJ34" t="str">
        <f>IF('Навигатор накоплений'!A27="","",IF(28&lt;=DATEDIF('Навигатор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накоплений'!F27,1,0),AK33,""))</f>
        <v/>
      </c>
      <c r="AK34" t="str">
        <f>IF(AJ34="","",MIN(EDATE('Навигатор накоплений'!E27,28),'Навигатор накоплений'!F27))</f>
        <v/>
      </c>
      <c r="AL34" t="str">
        <f>IF(AJ34="","",ROUND(AM33*'Навигатор накоплений'!D27*IF(YEAR(AJ34)=YEAR(AK34-1),(AK34-AJ34)/(DATE(YEAR(AJ34),12,31)-DATE(YEAR(AJ34),1,1)+1),(DATE(YEAR(AJ34)+1,1,1)-AJ34)/(DATE(YEAR(AJ34),12,31)-DATE(YEAR(AJ34),1,1)+1)+(AK34-DATE(YEAR(AK34),1,1))/(DATE(YEAR(AK34),12,31)-DATE(YEAR(AK34),1,1)+1)),2))</f>
        <v/>
      </c>
      <c r="AM34" t="str">
        <f>IF(AJ34="","",ROUND(AM33+AL34+IF(AK34&lt;'Навигатор накоплений'!F27,N('Навигатор накоплений'!G27),0),2))</f>
        <v/>
      </c>
      <c r="AO34" t="str">
        <f>IF('Навигатор накоплений'!A28="","",IF(28&lt;=DATEDIF('Навигатор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накоплений'!F28,1,0),AP33,""))</f>
        <v/>
      </c>
      <c r="AP34" t="str">
        <f>IF(AO34="","",MIN(EDATE('Навигатор накоплений'!E28,28),'Навигатор накоплений'!F28))</f>
        <v/>
      </c>
      <c r="AQ34" t="str">
        <f>IF(AO34="","",ROUND(AR33*'Навигатор накоплений'!D28*IF(YEAR(AO34)=YEAR(AP34-1),(AP34-AO34)/(DATE(YEAR(AO34),12,31)-DATE(YEAR(AO34),1,1)+1),(DATE(YEAR(AO34)+1,1,1)-AO34)/(DATE(YEAR(AO34),12,31)-DATE(YEAR(AO34),1,1)+1)+(AP34-DATE(YEAR(AP34),1,1))/(DATE(YEAR(AP34),12,31)-DATE(YEAR(AP34),1,1)+1)),2))</f>
        <v/>
      </c>
      <c r="AR34" t="str">
        <f>IF(AO34="","",ROUND(AR33+AQ34+IF(AP34&lt;'Навигатор накоплений'!F28,N('Навигатор накоплений'!G28),0),2))</f>
        <v/>
      </c>
      <c r="AT34">
        <f t="shared" si="0"/>
        <v>0</v>
      </c>
      <c r="AU34">
        <f t="shared" si="1"/>
        <v>0</v>
      </c>
      <c r="AV34">
        <f t="shared" si="2"/>
        <v>0</v>
      </c>
      <c r="AW34">
        <f t="shared" si="3"/>
        <v>0</v>
      </c>
      <c r="AX34">
        <f t="shared" si="4"/>
        <v>0</v>
      </c>
      <c r="AY34">
        <f t="shared" si="5"/>
        <v>0</v>
      </c>
      <c r="AZ34">
        <f t="shared" si="6"/>
        <v>0</v>
      </c>
      <c r="BA34"/>
      <c r="BB34"/>
      <c r="BD34"/>
      <c r="BE34"/>
      <c r="BF34"/>
      <c r="BG34"/>
    </row>
    <row r="35" spans="1:59" ht="15" x14ac:dyDescent="0.2">
      <c r="A35" s="43">
        <v>9</v>
      </c>
      <c r="B35" s="45" t="str">
        <f>IF('Навигатор накоплений'!A32="","",EDATE('Навигатор накоплений'!C32,A35-1))</f>
        <v/>
      </c>
      <c r="C35" s="45" t="str">
        <f>IF(B35="","",EDATE('Навигатор накоплений'!C32,A35))</f>
        <v/>
      </c>
      <c r="D35" s="46" t="str">
        <f t="shared" si="19"/>
        <v/>
      </c>
      <c r="E35" s="46" t="str">
        <f>IF(B35="","",N('Навигатор накоплений'!G32))</f>
        <v/>
      </c>
      <c r="F35" s="46" t="str">
        <f>IF(B35="","",IF('Навигатор накоплений'!F32="Ежедневный остаток",D35+E35,D35))</f>
        <v/>
      </c>
      <c r="G35" s="48" t="str">
        <f t="shared" si="17"/>
        <v/>
      </c>
      <c r="H35" s="46" t="str">
        <f>IF(B35="","",ROUND(F35*'Навигатор накоплений'!E32*IF(YEAR(B35)=YEAR(C35-1),(C35-B35)/(DATE(YEAR(B35),12,31)-DATE(YEAR(B35),1,1)+1),(DATE(YEAR(B35)+1,1,1)-B35)/(DATE(YEAR(B35),12,31)-DATE(YEAR(B35),1,1)+1)+(C35-DATE(YEAR(C35),1,1))/(DATE(YEAR(C35),12,31)-DATE(YEAR(C35),1,1)+1)),2))</f>
        <v/>
      </c>
      <c r="I35" s="46" t="str">
        <f t="shared" si="18"/>
        <v/>
      </c>
      <c r="K35" s="45" t="str">
        <f>IF('Навигатор накоплений'!A22="","",IF(29&lt;=DATEDIF('Навигатор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накоплений'!F22,1,0),L34,""))</f>
        <v/>
      </c>
      <c r="L35" s="45" t="str">
        <f>IF(K35="","",MIN(EDATE('Навигатор накоплений'!E22,29),'Навигатор накоплений'!F22))</f>
        <v/>
      </c>
      <c r="M35" s="46" t="str">
        <f>IF(K35="","",ROUND(N34*'Навигатор накоплений'!D22*IF(YEAR(K35)=YEAR(L35-1),(L35-K35)/(DATE(YEAR(K35),12,31)-DATE(YEAR(K35),1,1)+1),(DATE(YEAR(K35)+1,1,1)-K35)/(DATE(YEAR(K35),12,31)-DATE(YEAR(K35),1,1)+1)+(L35-DATE(YEAR(L35),1,1))/(DATE(YEAR(L35),12,31)-DATE(YEAR(L35),1,1)+1)),2))</f>
        <v/>
      </c>
      <c r="N35" s="46" t="str">
        <f>IF(K35="","",ROUND(N34+M35+IF(L35&lt;'Навигатор накоплений'!F22,N('Навигатор накоплений'!G22),0),2))</f>
        <v/>
      </c>
      <c r="P35" s="45" t="str">
        <f>IF('Навигатор накоплений'!A23="","",IF(29&lt;=DATEDIF('Навигатор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накоплений'!F23,1,0),Q34,""))</f>
        <v/>
      </c>
      <c r="Q35" s="45" t="str">
        <f>IF(P35="","",MIN(EDATE('Навигатор накоплений'!E23,29),'Навигатор накоплений'!F23))</f>
        <v/>
      </c>
      <c r="R35" s="46" t="str">
        <f>IF(P35="","",ROUND(S34*'Навигатор накоплений'!D23*IF(YEAR(P35)=YEAR(Q35-1),(Q35-P35)/(DATE(YEAR(P35),12,31)-DATE(YEAR(P35),1,1)+1),(DATE(YEAR(P35)+1,1,1)-P35)/(DATE(YEAR(P35),12,31)-DATE(YEAR(P35),1,1)+1)+(Q35-DATE(YEAR(Q35),1,1))/(DATE(YEAR(Q35),12,31)-DATE(YEAR(Q35),1,1)+1)),2))</f>
        <v/>
      </c>
      <c r="S35" s="46" t="str">
        <f>IF(P35="","",ROUND(S34+R35+IF(Q35&lt;'Навигатор накоплений'!F23,N('Навигатор накоплений'!G23),0),2))</f>
        <v/>
      </c>
      <c r="U35" s="45" t="str">
        <f>IF('Навигатор накоплений'!A24="","",IF(29&lt;=DATEDIF('Навигатор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накоплений'!F24,1,0),V34,""))</f>
        <v/>
      </c>
      <c r="V35" s="45" t="str">
        <f>IF(U35="","",MIN(EDATE('Навигатор накоплений'!E24,29),'Навигатор накоплений'!F24))</f>
        <v/>
      </c>
      <c r="W35" s="46" t="str">
        <f>IF(U35="","",ROUND(X34*'Навигатор накоплений'!D24*IF(YEAR(U35)=YEAR(V35-1),(V35-U35)/(DATE(YEAR(U35),12,31)-DATE(YEAR(U35),1,1)+1),(DATE(YEAR(U35)+1,1,1)-U35)/(DATE(YEAR(U35),12,31)-DATE(YEAR(U35),1,1)+1)+(V35-DATE(YEAR(V35),1,1))/(DATE(YEAR(V35),12,31)-DATE(YEAR(V35),1,1)+1)),2))</f>
        <v/>
      </c>
      <c r="X35" s="46" t="str">
        <f>IF(U35="","",ROUND(X34+W35+IF(V35&lt;'Навигатор накоплений'!F24,N('Навигатор накоплений'!G24),0),2))</f>
        <v/>
      </c>
      <c r="Z35" s="45" t="str">
        <f>IF('Навигатор накоплений'!A25="","",IF(29&lt;=DATEDIF('Навигатор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накоплений'!F25,1,0),AA34,""))</f>
        <v/>
      </c>
      <c r="AA35" s="45" t="str">
        <f>IF(Z35="","",MIN(EDATE('Навигатор накоплений'!E25,29),'Навигатор накоплений'!F25))</f>
        <v/>
      </c>
      <c r="AB35" s="46" t="str">
        <f>IF(Z35="","",ROUND(AC34*'Навигатор накоплений'!D25*IF(YEAR(Z35)=YEAR(AA35-1),(AA35-Z35)/(DATE(YEAR(Z35),12,31)-DATE(YEAR(Z35),1,1)+1),(DATE(YEAR(Z35)+1,1,1)-Z35)/(DATE(YEAR(Z35),12,31)-DATE(YEAR(Z35),1,1)+1)+(AA35-DATE(YEAR(AA35),1,1))/(DATE(YEAR(AA35),12,31)-DATE(YEAR(AA35),1,1)+1)),2))</f>
        <v/>
      </c>
      <c r="AC35" s="46" t="str">
        <f>IF(Z35="","",ROUND(AC34+AB35+IF(AA35&lt;'Навигатор накоплений'!F25,N('Навигатор накоплений'!G25),0),2))</f>
        <v/>
      </c>
      <c r="AE35" t="str">
        <f>IF('Навигатор накоплений'!A26="","",IF(29&lt;=DATEDIF('Навигатор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накоплений'!F26,1,0),AF34,""))</f>
        <v/>
      </c>
      <c r="AF35" t="str">
        <f>IF(AE35="","",MIN(EDATE('Навигатор накоплений'!E26,29),'Навигатор накоплений'!F26))</f>
        <v/>
      </c>
      <c r="AG35" t="str">
        <f>IF(AE35="","",ROUND(AH34*'Навигатор накоплений'!D26*IF(YEAR(AE35)=YEAR(AF35-1),(AF35-AE35)/(DATE(YEAR(AE35),12,31)-DATE(YEAR(AE35),1,1)+1),(DATE(YEAR(AE35)+1,1,1)-AE35)/(DATE(YEAR(AE35),12,31)-DATE(YEAR(AE35),1,1)+1)+(AF35-DATE(YEAR(AF35),1,1))/(DATE(YEAR(AF35),12,31)-DATE(YEAR(AF35),1,1)+1)),2))</f>
        <v/>
      </c>
      <c r="AH35" t="str">
        <f>IF(AE35="","",ROUND(AH34+AG35+IF(AF35&lt;'Навигатор накоплений'!F26,N('Навигатор накоплений'!G26),0),2))</f>
        <v/>
      </c>
      <c r="AJ35" t="str">
        <f>IF('Навигатор накоплений'!A27="","",IF(29&lt;=DATEDIF('Навигатор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накоплений'!F27,1,0),AK34,""))</f>
        <v/>
      </c>
      <c r="AK35" t="str">
        <f>IF(AJ35="","",MIN(EDATE('Навигатор накоплений'!E27,29),'Навигатор накоплений'!F27))</f>
        <v/>
      </c>
      <c r="AL35" t="str">
        <f>IF(AJ35="","",ROUND(AM34*'Навигатор накоплений'!D27*IF(YEAR(AJ35)=YEAR(AK35-1),(AK35-AJ35)/(DATE(YEAR(AJ35),12,31)-DATE(YEAR(AJ35),1,1)+1),(DATE(YEAR(AJ35)+1,1,1)-AJ35)/(DATE(YEAR(AJ35),12,31)-DATE(YEAR(AJ35),1,1)+1)+(AK35-DATE(YEAR(AK35),1,1))/(DATE(YEAR(AK35),12,31)-DATE(YEAR(AK35),1,1)+1)),2))</f>
        <v/>
      </c>
      <c r="AM35" t="str">
        <f>IF(AJ35="","",ROUND(AM34+AL35+IF(AK35&lt;'Навигатор накоплений'!F27,N('Навигатор накоплений'!G27),0),2))</f>
        <v/>
      </c>
      <c r="AO35" t="str">
        <f>IF('Навигатор накоплений'!A28="","",IF(29&lt;=DATEDIF('Навигатор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накоплений'!F28,1,0),AP34,""))</f>
        <v/>
      </c>
      <c r="AP35" t="str">
        <f>IF(AO35="","",MIN(EDATE('Навигатор накоплений'!E28,29),'Навигатор накоплений'!F28))</f>
        <v/>
      </c>
      <c r="AQ35" t="str">
        <f>IF(AO35="","",ROUND(AR34*'Навигатор накоплений'!D28*IF(YEAR(AO35)=YEAR(AP35-1),(AP35-AO35)/(DATE(YEAR(AO35),12,31)-DATE(YEAR(AO35),1,1)+1),(DATE(YEAR(AO35)+1,1,1)-AO35)/(DATE(YEAR(AO35),12,31)-DATE(YEAR(AO35),1,1)+1)+(AP35-DATE(YEAR(AP35),1,1))/(DATE(YEAR(AP35),12,31)-DATE(YEAR(AP35),1,1)+1)),2))</f>
        <v/>
      </c>
      <c r="AR35" t="str">
        <f>IF(AO35="","",ROUND(AR34+AQ35+IF(AP35&lt;'Навигатор накоплений'!F28,N('Навигатор накоплений'!G28),0),2))</f>
        <v/>
      </c>
      <c r="AT35">
        <f t="shared" si="0"/>
        <v>0</v>
      </c>
      <c r="AU35">
        <f t="shared" si="1"/>
        <v>0</v>
      </c>
      <c r="AV35">
        <f t="shared" si="2"/>
        <v>0</v>
      </c>
      <c r="AW35">
        <f t="shared" si="3"/>
        <v>0</v>
      </c>
      <c r="AX35">
        <f t="shared" si="4"/>
        <v>0</v>
      </c>
      <c r="AY35">
        <f t="shared" si="5"/>
        <v>0</v>
      </c>
      <c r="AZ35">
        <f t="shared" si="6"/>
        <v>0</v>
      </c>
      <c r="BA35"/>
      <c r="BB35"/>
      <c r="BD35"/>
      <c r="BE35"/>
      <c r="BF35"/>
      <c r="BG35"/>
    </row>
    <row r="36" spans="1:59" ht="15" x14ac:dyDescent="0.2">
      <c r="A36" s="43">
        <v>10</v>
      </c>
      <c r="B36" s="45" t="str">
        <f>IF('Навигатор накоплений'!A32="","",EDATE('Навигатор накоплений'!C32,A36-1))</f>
        <v/>
      </c>
      <c r="C36" s="45" t="str">
        <f>IF(B36="","",EDATE('Навигатор накоплений'!C32,A36))</f>
        <v/>
      </c>
      <c r="D36" s="46" t="str">
        <f t="shared" si="19"/>
        <v/>
      </c>
      <c r="E36" s="46" t="str">
        <f>IF(B36="","",N('Навигатор накоплений'!G32))</f>
        <v/>
      </c>
      <c r="F36" s="46" t="str">
        <f>IF(B36="","",IF('Навигатор накоплений'!F32="Ежедневный остаток",D36+E36,D36))</f>
        <v/>
      </c>
      <c r="G36" s="48" t="str">
        <f t="shared" si="17"/>
        <v/>
      </c>
      <c r="H36" s="46" t="str">
        <f>IF(B36="","",ROUND(F36*'Навигатор накоплений'!E32*IF(YEAR(B36)=YEAR(C36-1),(C36-B36)/(DATE(YEAR(B36),12,31)-DATE(YEAR(B36),1,1)+1),(DATE(YEAR(B36)+1,1,1)-B36)/(DATE(YEAR(B36),12,31)-DATE(YEAR(B36),1,1)+1)+(C36-DATE(YEAR(C36),1,1))/(DATE(YEAR(C36),12,31)-DATE(YEAR(C36),1,1)+1)),2))</f>
        <v/>
      </c>
      <c r="I36" s="46" t="str">
        <f t="shared" si="18"/>
        <v/>
      </c>
      <c r="K36" s="45" t="str">
        <f>IF('Навигатор накоплений'!A22="","",IF(30&lt;=DATEDIF('Навигатор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накоплений'!F22,1,0),L35,""))</f>
        <v/>
      </c>
      <c r="L36" s="45" t="str">
        <f>IF(K36="","",MIN(EDATE('Навигатор накоплений'!E22,30),'Навигатор накоплений'!F22))</f>
        <v/>
      </c>
      <c r="M36" s="46" t="str">
        <f>IF(K36="","",ROUND(N35*'Навигатор накоплений'!D22*IF(YEAR(K36)=YEAR(L36-1),(L36-K36)/(DATE(YEAR(K36),12,31)-DATE(YEAR(K36),1,1)+1),(DATE(YEAR(K36)+1,1,1)-K36)/(DATE(YEAR(K36),12,31)-DATE(YEAR(K36),1,1)+1)+(L36-DATE(YEAR(L36),1,1))/(DATE(YEAR(L36),12,31)-DATE(YEAR(L36),1,1)+1)),2))</f>
        <v/>
      </c>
      <c r="N36" s="46" t="str">
        <f>IF(K36="","",ROUND(N35+M36+IF(L36&lt;'Навигатор накоплений'!F22,N('Навигатор накоплений'!G22),0),2))</f>
        <v/>
      </c>
      <c r="P36" s="45" t="str">
        <f>IF('Навигатор накоплений'!A23="","",IF(30&lt;=DATEDIF('Навигатор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накоплений'!F23,1,0),Q35,""))</f>
        <v/>
      </c>
      <c r="Q36" s="45" t="str">
        <f>IF(P36="","",MIN(EDATE('Навигатор накоплений'!E23,30),'Навигатор накоплений'!F23))</f>
        <v/>
      </c>
      <c r="R36" s="46" t="str">
        <f>IF(P36="","",ROUND(S35*'Навигатор накоплений'!D23*IF(YEAR(P36)=YEAR(Q36-1),(Q36-P36)/(DATE(YEAR(P36),12,31)-DATE(YEAR(P36),1,1)+1),(DATE(YEAR(P36)+1,1,1)-P36)/(DATE(YEAR(P36),12,31)-DATE(YEAR(P36),1,1)+1)+(Q36-DATE(YEAR(Q36),1,1))/(DATE(YEAR(Q36),12,31)-DATE(YEAR(Q36),1,1)+1)),2))</f>
        <v/>
      </c>
      <c r="S36" s="46" t="str">
        <f>IF(P36="","",ROUND(S35+R36+IF(Q36&lt;'Навигатор накоплений'!F23,N('Навигатор накоплений'!G23),0),2))</f>
        <v/>
      </c>
      <c r="U36" s="45" t="str">
        <f>IF('Навигатор накоплений'!A24="","",IF(30&lt;=DATEDIF('Навигатор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накоплений'!F24,1,0),V35,""))</f>
        <v/>
      </c>
      <c r="V36" s="45" t="str">
        <f>IF(U36="","",MIN(EDATE('Навигатор накоплений'!E24,30),'Навигатор накоплений'!F24))</f>
        <v/>
      </c>
      <c r="W36" s="46" t="str">
        <f>IF(U36="","",ROUND(X35*'Навигатор накоплений'!D24*IF(YEAR(U36)=YEAR(V36-1),(V36-U36)/(DATE(YEAR(U36),12,31)-DATE(YEAR(U36),1,1)+1),(DATE(YEAR(U36)+1,1,1)-U36)/(DATE(YEAR(U36),12,31)-DATE(YEAR(U36),1,1)+1)+(V36-DATE(YEAR(V36),1,1))/(DATE(YEAR(V36),12,31)-DATE(YEAR(V36),1,1)+1)),2))</f>
        <v/>
      </c>
      <c r="X36" s="46" t="str">
        <f>IF(U36="","",ROUND(X35+W36+IF(V36&lt;'Навигатор накоплений'!F24,N('Навигатор накоплений'!G24),0),2))</f>
        <v/>
      </c>
      <c r="Z36" s="45" t="str">
        <f>IF('Навигатор накоплений'!A25="","",IF(30&lt;=DATEDIF('Навигатор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накоплений'!F25,1,0),AA35,""))</f>
        <v/>
      </c>
      <c r="AA36" s="45" t="str">
        <f>IF(Z36="","",MIN(EDATE('Навигатор накоплений'!E25,30),'Навигатор накоплений'!F25))</f>
        <v/>
      </c>
      <c r="AB36" s="46" t="str">
        <f>IF(Z36="","",ROUND(AC35*'Навигатор накоплений'!D25*IF(YEAR(Z36)=YEAR(AA36-1),(AA36-Z36)/(DATE(YEAR(Z36),12,31)-DATE(YEAR(Z36),1,1)+1),(DATE(YEAR(Z36)+1,1,1)-Z36)/(DATE(YEAR(Z36),12,31)-DATE(YEAR(Z36),1,1)+1)+(AA36-DATE(YEAR(AA36),1,1))/(DATE(YEAR(AA36),12,31)-DATE(YEAR(AA36),1,1)+1)),2))</f>
        <v/>
      </c>
      <c r="AC36" s="46" t="str">
        <f>IF(Z36="","",ROUND(AC35+AB36+IF(AA36&lt;'Навигатор накоплений'!F25,N('Навигатор накоплений'!G25),0),2))</f>
        <v/>
      </c>
      <c r="AE36" t="str">
        <f>IF('Навигатор накоплений'!A26="","",IF(30&lt;=DATEDIF('Навигатор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накоплений'!F26,1,0),AF35,""))</f>
        <v/>
      </c>
      <c r="AF36" t="str">
        <f>IF(AE36="","",MIN(EDATE('Навигатор накоплений'!E26,30),'Навигатор накоплений'!F26))</f>
        <v/>
      </c>
      <c r="AG36" t="str">
        <f>IF(AE36="","",ROUND(AH35*'Навигатор накоплений'!D26*IF(YEAR(AE36)=YEAR(AF36-1),(AF36-AE36)/(DATE(YEAR(AE36),12,31)-DATE(YEAR(AE36),1,1)+1),(DATE(YEAR(AE36)+1,1,1)-AE36)/(DATE(YEAR(AE36),12,31)-DATE(YEAR(AE36),1,1)+1)+(AF36-DATE(YEAR(AF36),1,1))/(DATE(YEAR(AF36),12,31)-DATE(YEAR(AF36),1,1)+1)),2))</f>
        <v/>
      </c>
      <c r="AH36" t="str">
        <f>IF(AE36="","",ROUND(AH35+AG36+IF(AF36&lt;'Навигатор накоплений'!F26,N('Навигатор накоплений'!G26),0),2))</f>
        <v/>
      </c>
      <c r="AJ36" t="str">
        <f>IF('Навигатор накоплений'!A27="","",IF(30&lt;=DATEDIF('Навигатор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накоплений'!F27,1,0),AK35,""))</f>
        <v/>
      </c>
      <c r="AK36" t="str">
        <f>IF(AJ36="","",MIN(EDATE('Навигатор накоплений'!E27,30),'Навигатор накоплений'!F27))</f>
        <v/>
      </c>
      <c r="AL36" t="str">
        <f>IF(AJ36="","",ROUND(AM35*'Навигатор накоплений'!D27*IF(YEAR(AJ36)=YEAR(AK36-1),(AK36-AJ36)/(DATE(YEAR(AJ36),12,31)-DATE(YEAR(AJ36),1,1)+1),(DATE(YEAR(AJ36)+1,1,1)-AJ36)/(DATE(YEAR(AJ36),12,31)-DATE(YEAR(AJ36),1,1)+1)+(AK36-DATE(YEAR(AK36),1,1))/(DATE(YEAR(AK36),12,31)-DATE(YEAR(AK36),1,1)+1)),2))</f>
        <v/>
      </c>
      <c r="AM36" t="str">
        <f>IF(AJ36="","",ROUND(AM35+AL36+IF(AK36&lt;'Навигатор накоплений'!F27,N('Навигатор накоплений'!G27),0),2))</f>
        <v/>
      </c>
      <c r="AO36" t="str">
        <f>IF('Навигатор накоплений'!A28="","",IF(30&lt;=DATEDIF('Навигатор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накоплений'!F28,1,0),AP35,""))</f>
        <v/>
      </c>
      <c r="AP36" t="str">
        <f>IF(AO36="","",MIN(EDATE('Навигатор накоплений'!E28,30),'Навигатор накоплений'!F28))</f>
        <v/>
      </c>
      <c r="AQ36" t="str">
        <f>IF(AO36="","",ROUND(AR35*'Навигатор накоплений'!D28*IF(YEAR(AO36)=YEAR(AP36-1),(AP36-AO36)/(DATE(YEAR(AO36),12,31)-DATE(YEAR(AO36),1,1)+1),(DATE(YEAR(AO36)+1,1,1)-AO36)/(DATE(YEAR(AO36),12,31)-DATE(YEAR(AO36),1,1)+1)+(AP36-DATE(YEAR(AP36),1,1))/(DATE(YEAR(AP36),12,31)-DATE(YEAR(AP36),1,1)+1)),2))</f>
        <v/>
      </c>
      <c r="AR36" t="str">
        <f>IF(AO36="","",ROUND(AR35+AQ36+IF(AP36&lt;'Навигатор накоплений'!F28,N('Навигатор накоплений'!G28),0),2))</f>
        <v/>
      </c>
      <c r="AT36">
        <f t="shared" si="0"/>
        <v>0</v>
      </c>
      <c r="AU36">
        <f t="shared" si="1"/>
        <v>0</v>
      </c>
      <c r="AV36">
        <f t="shared" si="2"/>
        <v>0</v>
      </c>
      <c r="AW36">
        <f t="shared" si="3"/>
        <v>0</v>
      </c>
      <c r="AX36">
        <f t="shared" si="4"/>
        <v>0</v>
      </c>
      <c r="AY36">
        <f t="shared" si="5"/>
        <v>0</v>
      </c>
      <c r="AZ36">
        <f t="shared" si="6"/>
        <v>0</v>
      </c>
      <c r="BA36"/>
      <c r="BB36"/>
      <c r="BD36"/>
      <c r="BE36"/>
      <c r="BF36"/>
      <c r="BG36"/>
    </row>
    <row r="37" spans="1:59" ht="15" x14ac:dyDescent="0.2">
      <c r="A37" s="43">
        <v>11</v>
      </c>
      <c r="B37" s="45" t="str">
        <f>IF('Навигатор накоплений'!A32="","",EDATE('Навигатор накоплений'!C32,A37-1))</f>
        <v/>
      </c>
      <c r="C37" s="45" t="str">
        <f>IF(B37="","",EDATE('Навигатор накоплений'!C32,A37))</f>
        <v/>
      </c>
      <c r="D37" s="46" t="str">
        <f t="shared" si="19"/>
        <v/>
      </c>
      <c r="E37" s="46" t="str">
        <f>IF(B37="","",N('Навигатор накоплений'!G32))</f>
        <v/>
      </c>
      <c r="F37" s="46" t="str">
        <f>IF(B37="","",IF('Навигатор накоплений'!F32="Ежедневный остаток",D37+E37,D37))</f>
        <v/>
      </c>
      <c r="G37" s="48" t="str">
        <f t="shared" si="17"/>
        <v/>
      </c>
      <c r="H37" s="46" t="str">
        <f>IF(B37="","",ROUND(F37*'Навигатор накоплений'!E32*IF(YEAR(B37)=YEAR(C37-1),(C37-B37)/(DATE(YEAR(B37),12,31)-DATE(YEAR(B37),1,1)+1),(DATE(YEAR(B37)+1,1,1)-B37)/(DATE(YEAR(B37),12,31)-DATE(YEAR(B37),1,1)+1)+(C37-DATE(YEAR(C37),1,1))/(DATE(YEAR(C37),12,31)-DATE(YEAR(C37),1,1)+1)),2))</f>
        <v/>
      </c>
      <c r="I37" s="46" t="str">
        <f t="shared" si="18"/>
        <v/>
      </c>
      <c r="K37" s="45" t="str">
        <f>IF('Навигатор накоплений'!A22="","",IF(31&lt;=DATEDIF('Навигатор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накоплений'!F22,1,0),L36,""))</f>
        <v/>
      </c>
      <c r="L37" s="45" t="str">
        <f>IF(K37="","",MIN(EDATE('Навигатор накоплений'!E22,31),'Навигатор накоплений'!F22))</f>
        <v/>
      </c>
      <c r="M37" s="46" t="str">
        <f>IF(K37="","",ROUND(N36*'Навигатор накоплений'!D22*IF(YEAR(K37)=YEAR(L37-1),(L37-K37)/(DATE(YEAR(K37),12,31)-DATE(YEAR(K37),1,1)+1),(DATE(YEAR(K37)+1,1,1)-K37)/(DATE(YEAR(K37),12,31)-DATE(YEAR(K37),1,1)+1)+(L37-DATE(YEAR(L37),1,1))/(DATE(YEAR(L37),12,31)-DATE(YEAR(L37),1,1)+1)),2))</f>
        <v/>
      </c>
      <c r="N37" s="46" t="str">
        <f>IF(K37="","",ROUND(N36+M37+IF(L37&lt;'Навигатор накоплений'!F22,N('Навигатор накоплений'!G22),0),2))</f>
        <v/>
      </c>
      <c r="P37" s="45" t="str">
        <f>IF('Навигатор накоплений'!A23="","",IF(31&lt;=DATEDIF('Навигатор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накоплений'!F23,1,0),Q36,""))</f>
        <v/>
      </c>
      <c r="Q37" s="45" t="str">
        <f>IF(P37="","",MIN(EDATE('Навигатор накоплений'!E23,31),'Навигатор накоплений'!F23))</f>
        <v/>
      </c>
      <c r="R37" s="46" t="str">
        <f>IF(P37="","",ROUND(S36*'Навигатор накоплений'!D23*IF(YEAR(P37)=YEAR(Q37-1),(Q37-P37)/(DATE(YEAR(P37),12,31)-DATE(YEAR(P37),1,1)+1),(DATE(YEAR(P37)+1,1,1)-P37)/(DATE(YEAR(P37),12,31)-DATE(YEAR(P37),1,1)+1)+(Q37-DATE(YEAR(Q37),1,1))/(DATE(YEAR(Q37),12,31)-DATE(YEAR(Q37),1,1)+1)),2))</f>
        <v/>
      </c>
      <c r="S37" s="46" t="str">
        <f>IF(P37="","",ROUND(S36+R37+IF(Q37&lt;'Навигатор накоплений'!F23,N('Навигатор накоплений'!G23),0),2))</f>
        <v/>
      </c>
      <c r="U37" s="45" t="str">
        <f>IF('Навигатор накоплений'!A24="","",IF(31&lt;=DATEDIF('Навигатор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накоплений'!F24,1,0),V36,""))</f>
        <v/>
      </c>
      <c r="V37" s="45" t="str">
        <f>IF(U37="","",MIN(EDATE('Навигатор накоплений'!E24,31),'Навигатор накоплений'!F24))</f>
        <v/>
      </c>
      <c r="W37" s="46" t="str">
        <f>IF(U37="","",ROUND(X36*'Навигатор накоплений'!D24*IF(YEAR(U37)=YEAR(V37-1),(V37-U37)/(DATE(YEAR(U37),12,31)-DATE(YEAR(U37),1,1)+1),(DATE(YEAR(U37)+1,1,1)-U37)/(DATE(YEAR(U37),12,31)-DATE(YEAR(U37),1,1)+1)+(V37-DATE(YEAR(V37),1,1))/(DATE(YEAR(V37),12,31)-DATE(YEAR(V37),1,1)+1)),2))</f>
        <v/>
      </c>
      <c r="X37" s="46" t="str">
        <f>IF(U37="","",ROUND(X36+W37+IF(V37&lt;'Навигатор накоплений'!F24,N('Навигатор накоплений'!G24),0),2))</f>
        <v/>
      </c>
      <c r="Z37" s="45" t="str">
        <f>IF('Навигатор накоплений'!A25="","",IF(31&lt;=DATEDIF('Навигатор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накоплений'!F25,1,0),AA36,""))</f>
        <v/>
      </c>
      <c r="AA37" s="45" t="str">
        <f>IF(Z37="","",MIN(EDATE('Навигатор накоплений'!E25,31),'Навигатор накоплений'!F25))</f>
        <v/>
      </c>
      <c r="AB37" s="46" t="str">
        <f>IF(Z37="","",ROUND(AC36*'Навигатор накоплений'!D25*IF(YEAR(Z37)=YEAR(AA37-1),(AA37-Z37)/(DATE(YEAR(Z37),12,31)-DATE(YEAR(Z37),1,1)+1),(DATE(YEAR(Z37)+1,1,1)-Z37)/(DATE(YEAR(Z37),12,31)-DATE(YEAR(Z37),1,1)+1)+(AA37-DATE(YEAR(AA37),1,1))/(DATE(YEAR(AA37),12,31)-DATE(YEAR(AA37),1,1)+1)),2))</f>
        <v/>
      </c>
      <c r="AC37" s="46" t="str">
        <f>IF(Z37="","",ROUND(AC36+AB37+IF(AA37&lt;'Навигатор накоплений'!F25,N('Навигатор накоплений'!G25),0),2))</f>
        <v/>
      </c>
      <c r="AE37" t="str">
        <f>IF('Навигатор накоплений'!A26="","",IF(31&lt;=DATEDIF('Навигатор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накоплений'!F26,1,0),AF36,""))</f>
        <v/>
      </c>
      <c r="AF37" t="str">
        <f>IF(AE37="","",MIN(EDATE('Навигатор накоплений'!E26,31),'Навигатор накоплений'!F26))</f>
        <v/>
      </c>
      <c r="AG37" t="str">
        <f>IF(AE37="","",ROUND(AH36*'Навигатор накоплений'!D26*IF(YEAR(AE37)=YEAR(AF37-1),(AF37-AE37)/(DATE(YEAR(AE37),12,31)-DATE(YEAR(AE37),1,1)+1),(DATE(YEAR(AE37)+1,1,1)-AE37)/(DATE(YEAR(AE37),12,31)-DATE(YEAR(AE37),1,1)+1)+(AF37-DATE(YEAR(AF37),1,1))/(DATE(YEAR(AF37),12,31)-DATE(YEAR(AF37),1,1)+1)),2))</f>
        <v/>
      </c>
      <c r="AH37" t="str">
        <f>IF(AE37="","",ROUND(AH36+AG37+IF(AF37&lt;'Навигатор накоплений'!F26,N('Навигатор накоплений'!G26),0),2))</f>
        <v/>
      </c>
      <c r="AJ37" t="str">
        <f>IF('Навигатор накоплений'!A27="","",IF(31&lt;=DATEDIF('Навигатор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накоплений'!F27,1,0),AK36,""))</f>
        <v/>
      </c>
      <c r="AK37" t="str">
        <f>IF(AJ37="","",MIN(EDATE('Навигатор накоплений'!E27,31),'Навигатор накоплений'!F27))</f>
        <v/>
      </c>
      <c r="AL37" t="str">
        <f>IF(AJ37="","",ROUND(AM36*'Навигатор накоплений'!D27*IF(YEAR(AJ37)=YEAR(AK37-1),(AK37-AJ37)/(DATE(YEAR(AJ37),12,31)-DATE(YEAR(AJ37),1,1)+1),(DATE(YEAR(AJ37)+1,1,1)-AJ37)/(DATE(YEAR(AJ37),12,31)-DATE(YEAR(AJ37),1,1)+1)+(AK37-DATE(YEAR(AK37),1,1))/(DATE(YEAR(AK37),12,31)-DATE(YEAR(AK37),1,1)+1)),2))</f>
        <v/>
      </c>
      <c r="AM37" t="str">
        <f>IF(AJ37="","",ROUND(AM36+AL37+IF(AK37&lt;'Навигатор накоплений'!F27,N('Навигатор накоплений'!G27),0),2))</f>
        <v/>
      </c>
      <c r="AO37" t="str">
        <f>IF('Навигатор накоплений'!A28="","",IF(31&lt;=DATEDIF('Навигатор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накоплений'!F28,1,0),AP36,""))</f>
        <v/>
      </c>
      <c r="AP37" t="str">
        <f>IF(AO37="","",MIN(EDATE('Навигатор накоплений'!E28,31),'Навигатор накоплений'!F28))</f>
        <v/>
      </c>
      <c r="AQ37" t="str">
        <f>IF(AO37="","",ROUND(AR36*'Навигатор накоплений'!D28*IF(YEAR(AO37)=YEAR(AP37-1),(AP37-AO37)/(DATE(YEAR(AO37),12,31)-DATE(YEAR(AO37),1,1)+1),(DATE(YEAR(AO37)+1,1,1)-AO37)/(DATE(YEAR(AO37),12,31)-DATE(YEAR(AO37),1,1)+1)+(AP37-DATE(YEAR(AP37),1,1))/(DATE(YEAR(AP37),12,31)-DATE(YEAR(AP37),1,1)+1)),2))</f>
        <v/>
      </c>
      <c r="AR37" t="str">
        <f>IF(AO37="","",ROUND(AR36+AQ37+IF(AP37&lt;'Навигатор накоплений'!F28,N('Навигатор накоплений'!G28),0),2))</f>
        <v/>
      </c>
      <c r="AT37">
        <f t="shared" si="0"/>
        <v>0</v>
      </c>
      <c r="AU37">
        <f t="shared" si="1"/>
        <v>0</v>
      </c>
      <c r="AV37">
        <f t="shared" si="2"/>
        <v>0</v>
      </c>
      <c r="AW37">
        <f t="shared" si="3"/>
        <v>0</v>
      </c>
      <c r="AX37">
        <f t="shared" si="4"/>
        <v>0</v>
      </c>
      <c r="AY37">
        <f t="shared" si="5"/>
        <v>0</v>
      </c>
      <c r="AZ37">
        <f t="shared" si="6"/>
        <v>0</v>
      </c>
      <c r="BA37"/>
      <c r="BB37"/>
      <c r="BD37"/>
      <c r="BE37"/>
      <c r="BF37"/>
      <c r="BG37"/>
    </row>
    <row r="38" spans="1:59" ht="15" x14ac:dyDescent="0.2">
      <c r="A38" s="43">
        <v>12</v>
      </c>
      <c r="B38" s="45" t="str">
        <f>IF('Навигатор накоплений'!A32="","",EDATE('Навигатор накоплений'!C32,A38-1))</f>
        <v/>
      </c>
      <c r="C38" s="45" t="str">
        <f>IF(B38="","",EDATE('Навигатор накоплений'!C32,A38))</f>
        <v/>
      </c>
      <c r="D38" s="46" t="str">
        <f t="shared" si="19"/>
        <v/>
      </c>
      <c r="E38" s="46" t="str">
        <f>IF(B38="","",N('Навигатор накоплений'!G32))</f>
        <v/>
      </c>
      <c r="F38" s="46" t="str">
        <f>IF(B38="","",IF('Навигатор накоплений'!F32="Ежедневный остаток",D38+E38,D38))</f>
        <v/>
      </c>
      <c r="G38" s="48" t="str">
        <f t="shared" si="17"/>
        <v/>
      </c>
      <c r="H38" s="46" t="str">
        <f>IF(B38="","",ROUND(F38*'Навигатор накоплений'!E32*IF(YEAR(B38)=YEAR(C38-1),(C38-B38)/(DATE(YEAR(B38),12,31)-DATE(YEAR(B38),1,1)+1),(DATE(YEAR(B38)+1,1,1)-B38)/(DATE(YEAR(B38),12,31)-DATE(YEAR(B38),1,1)+1)+(C38-DATE(YEAR(C38),1,1))/(DATE(YEAR(C38),12,31)-DATE(YEAR(C38),1,1)+1)),2))</f>
        <v/>
      </c>
      <c r="I38" s="46" t="str">
        <f t="shared" si="18"/>
        <v/>
      </c>
      <c r="K38" s="45" t="str">
        <f>IF('Навигатор накоплений'!A22="","",IF(32&lt;=DATEDIF('Навигатор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накоплений'!F22,1,0),L37,""))</f>
        <v/>
      </c>
      <c r="L38" s="45" t="str">
        <f>IF(K38="","",MIN(EDATE('Навигатор накоплений'!E22,32),'Навигатор накоплений'!F22))</f>
        <v/>
      </c>
      <c r="M38" s="46" t="str">
        <f>IF(K38="","",ROUND(N37*'Навигатор накоплений'!D22*IF(YEAR(K38)=YEAR(L38-1),(L38-K38)/(DATE(YEAR(K38),12,31)-DATE(YEAR(K38),1,1)+1),(DATE(YEAR(K38)+1,1,1)-K38)/(DATE(YEAR(K38),12,31)-DATE(YEAR(K38),1,1)+1)+(L38-DATE(YEAR(L38),1,1))/(DATE(YEAR(L38),12,31)-DATE(YEAR(L38),1,1)+1)),2))</f>
        <v/>
      </c>
      <c r="N38" s="46" t="str">
        <f>IF(K38="","",ROUND(N37+M38+IF(L38&lt;'Навигатор накоплений'!F22,N('Навигатор накоплений'!G22),0),2))</f>
        <v/>
      </c>
      <c r="P38" s="45" t="str">
        <f>IF('Навигатор накоплений'!A23="","",IF(32&lt;=DATEDIF('Навигатор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накоплений'!F23,1,0),Q37,""))</f>
        <v/>
      </c>
      <c r="Q38" s="45" t="str">
        <f>IF(P38="","",MIN(EDATE('Навигатор накоплений'!E23,32),'Навигатор накоплений'!F23))</f>
        <v/>
      </c>
      <c r="R38" s="46" t="str">
        <f>IF(P38="","",ROUND(S37*'Навигатор накоплений'!D23*IF(YEAR(P38)=YEAR(Q38-1),(Q38-P38)/(DATE(YEAR(P38),12,31)-DATE(YEAR(P38),1,1)+1),(DATE(YEAR(P38)+1,1,1)-P38)/(DATE(YEAR(P38),12,31)-DATE(YEAR(P38),1,1)+1)+(Q38-DATE(YEAR(Q38),1,1))/(DATE(YEAR(Q38),12,31)-DATE(YEAR(Q38),1,1)+1)),2))</f>
        <v/>
      </c>
      <c r="S38" s="46" t="str">
        <f>IF(P38="","",ROUND(S37+R38+IF(Q38&lt;'Навигатор накоплений'!F23,N('Навигатор накоплений'!G23),0),2))</f>
        <v/>
      </c>
      <c r="U38" s="45" t="str">
        <f>IF('Навигатор накоплений'!A24="","",IF(32&lt;=DATEDIF('Навигатор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накоплений'!F24,1,0),V37,""))</f>
        <v/>
      </c>
      <c r="V38" s="45" t="str">
        <f>IF(U38="","",MIN(EDATE('Навигатор накоплений'!E24,32),'Навигатор накоплений'!F24))</f>
        <v/>
      </c>
      <c r="W38" s="46" t="str">
        <f>IF(U38="","",ROUND(X37*'Навигатор накоплений'!D24*IF(YEAR(U38)=YEAR(V38-1),(V38-U38)/(DATE(YEAR(U38),12,31)-DATE(YEAR(U38),1,1)+1),(DATE(YEAR(U38)+1,1,1)-U38)/(DATE(YEAR(U38),12,31)-DATE(YEAR(U38),1,1)+1)+(V38-DATE(YEAR(V38),1,1))/(DATE(YEAR(V38),12,31)-DATE(YEAR(V38),1,1)+1)),2))</f>
        <v/>
      </c>
      <c r="X38" s="46" t="str">
        <f>IF(U38="","",ROUND(X37+W38+IF(V38&lt;'Навигатор накоплений'!F24,N('Навигатор накоплений'!G24),0),2))</f>
        <v/>
      </c>
      <c r="Z38" s="45" t="str">
        <f>IF('Навигатор накоплений'!A25="","",IF(32&lt;=DATEDIF('Навигатор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накоплений'!F25,1,0),AA37,""))</f>
        <v/>
      </c>
      <c r="AA38" s="45" t="str">
        <f>IF(Z38="","",MIN(EDATE('Навигатор накоплений'!E25,32),'Навигатор накоплений'!F25))</f>
        <v/>
      </c>
      <c r="AB38" s="46" t="str">
        <f>IF(Z38="","",ROUND(AC37*'Навигатор накоплений'!D25*IF(YEAR(Z38)=YEAR(AA38-1),(AA38-Z38)/(DATE(YEAR(Z38),12,31)-DATE(YEAR(Z38),1,1)+1),(DATE(YEAR(Z38)+1,1,1)-Z38)/(DATE(YEAR(Z38),12,31)-DATE(YEAR(Z38),1,1)+1)+(AA38-DATE(YEAR(AA38),1,1))/(DATE(YEAR(AA38),12,31)-DATE(YEAR(AA38),1,1)+1)),2))</f>
        <v/>
      </c>
      <c r="AC38" s="46" t="str">
        <f>IF(Z38="","",ROUND(AC37+AB38+IF(AA38&lt;'Навигатор накоплений'!F25,N('Навигатор накоплений'!G25),0),2))</f>
        <v/>
      </c>
      <c r="AE38" t="str">
        <f>IF('Навигатор накоплений'!A26="","",IF(32&lt;=DATEDIF('Навигатор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накоплений'!F26,1,0),AF37,""))</f>
        <v/>
      </c>
      <c r="AF38" t="str">
        <f>IF(AE38="","",MIN(EDATE('Навигатор накоплений'!E26,32),'Навигатор накоплений'!F26))</f>
        <v/>
      </c>
      <c r="AG38" t="str">
        <f>IF(AE38="","",ROUND(AH37*'Навигатор накоплений'!D26*IF(YEAR(AE38)=YEAR(AF38-1),(AF38-AE38)/(DATE(YEAR(AE38),12,31)-DATE(YEAR(AE38),1,1)+1),(DATE(YEAR(AE38)+1,1,1)-AE38)/(DATE(YEAR(AE38),12,31)-DATE(YEAR(AE38),1,1)+1)+(AF38-DATE(YEAR(AF38),1,1))/(DATE(YEAR(AF38),12,31)-DATE(YEAR(AF38),1,1)+1)),2))</f>
        <v/>
      </c>
      <c r="AH38" t="str">
        <f>IF(AE38="","",ROUND(AH37+AG38+IF(AF38&lt;'Навигатор накоплений'!F26,N('Навигатор накоплений'!G26),0),2))</f>
        <v/>
      </c>
      <c r="AJ38" t="str">
        <f>IF('Навигатор накоплений'!A27="","",IF(32&lt;=DATEDIF('Навигатор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накоплений'!F27,1,0),AK37,""))</f>
        <v/>
      </c>
      <c r="AK38" t="str">
        <f>IF(AJ38="","",MIN(EDATE('Навигатор накоплений'!E27,32),'Навигатор накоплений'!F27))</f>
        <v/>
      </c>
      <c r="AL38" t="str">
        <f>IF(AJ38="","",ROUND(AM37*'Навигатор накоплений'!D27*IF(YEAR(AJ38)=YEAR(AK38-1),(AK38-AJ38)/(DATE(YEAR(AJ38),12,31)-DATE(YEAR(AJ38),1,1)+1),(DATE(YEAR(AJ38)+1,1,1)-AJ38)/(DATE(YEAR(AJ38),12,31)-DATE(YEAR(AJ38),1,1)+1)+(AK38-DATE(YEAR(AK38),1,1))/(DATE(YEAR(AK38),12,31)-DATE(YEAR(AK38),1,1)+1)),2))</f>
        <v/>
      </c>
      <c r="AM38" t="str">
        <f>IF(AJ38="","",ROUND(AM37+AL38+IF(AK38&lt;'Навигатор накоплений'!F27,N('Навигатор накоплений'!G27),0),2))</f>
        <v/>
      </c>
      <c r="AO38" t="str">
        <f>IF('Навигатор накоплений'!A28="","",IF(32&lt;=DATEDIF('Навигатор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накоплений'!F28,1,0),AP37,""))</f>
        <v/>
      </c>
      <c r="AP38" t="str">
        <f>IF(AO38="","",MIN(EDATE('Навигатор накоплений'!E28,32),'Навигатор накоплений'!F28))</f>
        <v/>
      </c>
      <c r="AQ38" t="str">
        <f>IF(AO38="","",ROUND(AR37*'Навигатор накоплений'!D28*IF(YEAR(AO38)=YEAR(AP38-1),(AP38-AO38)/(DATE(YEAR(AO38),12,31)-DATE(YEAR(AO38),1,1)+1),(DATE(YEAR(AO38)+1,1,1)-AO38)/(DATE(YEAR(AO38),12,31)-DATE(YEAR(AO38),1,1)+1)+(AP38-DATE(YEAR(AP38),1,1))/(DATE(YEAR(AP38),12,31)-DATE(YEAR(AP38),1,1)+1)),2))</f>
        <v/>
      </c>
      <c r="AR38" t="str">
        <f>IF(AO38="","",ROUND(AR37+AQ38+IF(AP38&lt;'Навигатор накоплений'!F28,N('Навигатор накоплений'!G28),0),2))</f>
        <v/>
      </c>
      <c r="AT38">
        <f t="shared" si="0"/>
        <v>0</v>
      </c>
      <c r="AU38">
        <f t="shared" si="1"/>
        <v>0</v>
      </c>
      <c r="AV38">
        <f t="shared" si="2"/>
        <v>0</v>
      </c>
      <c r="AW38">
        <f t="shared" si="3"/>
        <v>0</v>
      </c>
      <c r="AX38">
        <f t="shared" si="4"/>
        <v>0</v>
      </c>
      <c r="AY38">
        <f t="shared" si="5"/>
        <v>0</v>
      </c>
      <c r="AZ38">
        <f t="shared" si="6"/>
        <v>0</v>
      </c>
      <c r="BA38"/>
      <c r="BB38"/>
      <c r="BD38"/>
      <c r="BE38"/>
      <c r="BF38"/>
      <c r="BG38"/>
    </row>
    <row r="39" spans="1:59" ht="15" x14ac:dyDescent="0.2">
      <c r="A39" s="105" t="s">
        <v>58</v>
      </c>
      <c r="B39" s="105"/>
      <c r="C39" s="105"/>
      <c r="D39" s="106"/>
      <c r="E39" s="49">
        <f>SUM(E27:E38)</f>
        <v>0</v>
      </c>
      <c r="F39" s="49" t="s">
        <v>59</v>
      </c>
      <c r="G39" s="50">
        <f>SUM(G27:G38)</f>
        <v>0</v>
      </c>
      <c r="H39" s="49" t="str">
        <f>IF('Навигатор накоплений'!A32="","",SUM(H27:H38))</f>
        <v/>
      </c>
      <c r="I39" s="49" t="str">
        <f>IF('Навигатор накоплений'!A32="","",I38)</f>
        <v/>
      </c>
      <c r="K39" s="45" t="str">
        <f>IF('Навигатор накоплений'!A22="","",IF(33&lt;=DATEDIF('Навигатор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накоплений'!F22,1,0),L38,""))</f>
        <v/>
      </c>
      <c r="L39" s="45" t="str">
        <f>IF(K39="","",MIN(EDATE('Навигатор накоплений'!E22,33),'Навигатор накоплений'!F22))</f>
        <v/>
      </c>
      <c r="M39" s="46" t="str">
        <f>IF(K39="","",ROUND(N38*'Навигатор накоплений'!D22*IF(YEAR(K39)=YEAR(L39-1),(L39-K39)/(DATE(YEAR(K39),12,31)-DATE(YEAR(K39),1,1)+1),(DATE(YEAR(K39)+1,1,1)-K39)/(DATE(YEAR(K39),12,31)-DATE(YEAR(K39),1,1)+1)+(L39-DATE(YEAR(L39),1,1))/(DATE(YEAR(L39),12,31)-DATE(YEAR(L39),1,1)+1)),2))</f>
        <v/>
      </c>
      <c r="N39" s="46" t="str">
        <f>IF(K39="","",ROUND(N38+M39+IF(L39&lt;'Навигатор накоплений'!F22,N('Навигатор накоплений'!G22),0),2))</f>
        <v/>
      </c>
      <c r="P39" s="45" t="str">
        <f>IF('Навигатор накоплений'!A23="","",IF(33&lt;=DATEDIF('Навигатор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накоплений'!F23,1,0),Q38,""))</f>
        <v/>
      </c>
      <c r="Q39" s="45" t="str">
        <f>IF(P39="","",MIN(EDATE('Навигатор накоплений'!E23,33),'Навигатор накоплений'!F23))</f>
        <v/>
      </c>
      <c r="R39" s="46" t="str">
        <f>IF(P39="","",ROUND(S38*'Навигатор накоплений'!D23*IF(YEAR(P39)=YEAR(Q39-1),(Q39-P39)/(DATE(YEAR(P39),12,31)-DATE(YEAR(P39),1,1)+1),(DATE(YEAR(P39)+1,1,1)-P39)/(DATE(YEAR(P39),12,31)-DATE(YEAR(P39),1,1)+1)+(Q39-DATE(YEAR(Q39),1,1))/(DATE(YEAR(Q39),12,31)-DATE(YEAR(Q39),1,1)+1)),2))</f>
        <v/>
      </c>
      <c r="S39" s="46" t="str">
        <f>IF(P39="","",ROUND(S38+R39+IF(Q39&lt;'Навигатор накоплений'!F23,N('Навигатор накоплений'!G23),0),2))</f>
        <v/>
      </c>
      <c r="U39" s="45" t="str">
        <f>IF('Навигатор накоплений'!A24="","",IF(33&lt;=DATEDIF('Навигатор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накоплений'!F24,1,0),V38,""))</f>
        <v/>
      </c>
      <c r="V39" s="45" t="str">
        <f>IF(U39="","",MIN(EDATE('Навигатор накоплений'!E24,33),'Навигатор накоплений'!F24))</f>
        <v/>
      </c>
      <c r="W39" s="46" t="str">
        <f>IF(U39="","",ROUND(X38*'Навигатор накоплений'!D24*IF(YEAR(U39)=YEAR(V39-1),(V39-U39)/(DATE(YEAR(U39),12,31)-DATE(YEAR(U39),1,1)+1),(DATE(YEAR(U39)+1,1,1)-U39)/(DATE(YEAR(U39),12,31)-DATE(YEAR(U39),1,1)+1)+(V39-DATE(YEAR(V39),1,1))/(DATE(YEAR(V39),12,31)-DATE(YEAR(V39),1,1)+1)),2))</f>
        <v/>
      </c>
      <c r="X39" s="46" t="str">
        <f>IF(U39="","",ROUND(X38+W39+IF(V39&lt;'Навигатор накоплений'!F24,N('Навигатор накоплений'!G24),0),2))</f>
        <v/>
      </c>
      <c r="Z39" s="45" t="str">
        <f>IF('Навигатор накоплений'!A25="","",IF(33&lt;=DATEDIF('Навигатор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накоплений'!F25,1,0),AA38,""))</f>
        <v/>
      </c>
      <c r="AA39" s="45" t="str">
        <f>IF(Z39="","",MIN(EDATE('Навигатор накоплений'!E25,33),'Навигатор накоплений'!F25))</f>
        <v/>
      </c>
      <c r="AB39" s="46" t="str">
        <f>IF(Z39="","",ROUND(AC38*'Навигатор накоплений'!D25*IF(YEAR(Z39)=YEAR(AA39-1),(AA39-Z39)/(DATE(YEAR(Z39),12,31)-DATE(YEAR(Z39),1,1)+1),(DATE(YEAR(Z39)+1,1,1)-Z39)/(DATE(YEAR(Z39),12,31)-DATE(YEAR(Z39),1,1)+1)+(AA39-DATE(YEAR(AA39),1,1))/(DATE(YEAR(AA39),12,31)-DATE(YEAR(AA39),1,1)+1)),2))</f>
        <v/>
      </c>
      <c r="AC39" s="46" t="str">
        <f>IF(Z39="","",ROUND(AC38+AB39+IF(AA39&lt;'Навигатор накоплений'!F25,N('Навигатор накоплений'!G25),0),2))</f>
        <v/>
      </c>
      <c r="AE39" t="str">
        <f>IF('Навигатор накоплений'!A26="","",IF(33&lt;=DATEDIF('Навигатор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накоплений'!F26,1,0),AF38,""))</f>
        <v/>
      </c>
      <c r="AF39" t="str">
        <f>IF(AE39="","",MIN(EDATE('Навигатор накоплений'!E26,33),'Навигатор накоплений'!F26))</f>
        <v/>
      </c>
      <c r="AG39" t="str">
        <f>IF(AE39="","",ROUND(AH38*'Навигатор накоплений'!D26*IF(YEAR(AE39)=YEAR(AF39-1),(AF39-AE39)/(DATE(YEAR(AE39),12,31)-DATE(YEAR(AE39),1,1)+1),(DATE(YEAR(AE39)+1,1,1)-AE39)/(DATE(YEAR(AE39),12,31)-DATE(YEAR(AE39),1,1)+1)+(AF39-DATE(YEAR(AF39),1,1))/(DATE(YEAR(AF39),12,31)-DATE(YEAR(AF39),1,1)+1)),2))</f>
        <v/>
      </c>
      <c r="AH39" t="str">
        <f>IF(AE39="","",ROUND(AH38+AG39+IF(AF39&lt;'Навигатор накоплений'!F26,N('Навигатор накоплений'!G26),0),2))</f>
        <v/>
      </c>
      <c r="AJ39" t="str">
        <f>IF('Навигатор накоплений'!A27="","",IF(33&lt;=DATEDIF('Навигатор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накоплений'!F27,1,0),AK38,""))</f>
        <v/>
      </c>
      <c r="AK39" t="str">
        <f>IF(AJ39="","",MIN(EDATE('Навигатор накоплений'!E27,33),'Навигатор накоплений'!F27))</f>
        <v/>
      </c>
      <c r="AL39" t="str">
        <f>IF(AJ39="","",ROUND(AM38*'Навигатор накоплений'!D27*IF(YEAR(AJ39)=YEAR(AK39-1),(AK39-AJ39)/(DATE(YEAR(AJ39),12,31)-DATE(YEAR(AJ39),1,1)+1),(DATE(YEAR(AJ39)+1,1,1)-AJ39)/(DATE(YEAR(AJ39),12,31)-DATE(YEAR(AJ39),1,1)+1)+(AK39-DATE(YEAR(AK39),1,1))/(DATE(YEAR(AK39),12,31)-DATE(YEAR(AK39),1,1)+1)),2))</f>
        <v/>
      </c>
      <c r="AM39" t="str">
        <f>IF(AJ39="","",ROUND(AM38+AL39+IF(AK39&lt;'Навигатор накоплений'!F27,N('Навигатор накоплений'!G27),0),2))</f>
        <v/>
      </c>
      <c r="AO39" t="str">
        <f>IF('Навигатор накоплений'!A28="","",IF(33&lt;=DATEDIF('Навигатор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накоплений'!F28,1,0),AP38,""))</f>
        <v/>
      </c>
      <c r="AP39" t="str">
        <f>IF(AO39="","",MIN(EDATE('Навигатор накоплений'!E28,33),'Навигатор накоплений'!F28))</f>
        <v/>
      </c>
      <c r="AQ39" t="str">
        <f>IF(AO39="","",ROUND(AR38*'Навигатор накоплений'!D28*IF(YEAR(AO39)=YEAR(AP39-1),(AP39-AO39)/(DATE(YEAR(AO39),12,31)-DATE(YEAR(AO39),1,1)+1),(DATE(YEAR(AO39)+1,1,1)-AO39)/(DATE(YEAR(AO39),12,31)-DATE(YEAR(AO39),1,1)+1)+(AP39-DATE(YEAR(AP39),1,1))/(DATE(YEAR(AP39),12,31)-DATE(YEAR(AP39),1,1)+1)),2))</f>
        <v/>
      </c>
      <c r="AR39" t="str">
        <f>IF(AO39="","",ROUND(AR38+AQ39+IF(AP39&lt;'Навигатор накоплений'!F28,N('Навигатор накоплений'!G28),0),2))</f>
        <v/>
      </c>
      <c r="AT39">
        <f t="shared" ref="AT39:AT66" si="20">IF(OR(K39="",L39="",M39="",L39&lt;=K39),0,ROUND(M39*MAX(0,MIN(L39,DATE(2027,1,1))-MAX(K39,DATE(2026,1,1)))/(L39-K39),2))</f>
        <v>0</v>
      </c>
      <c r="AU39">
        <f t="shared" ref="AU39:AU66" si="21">IF(OR(P39="",Q39="",R39="",Q39&lt;=P39),0,ROUND(R39*MAX(0,MIN(Q39,DATE(2027,1,1))-MAX(P39,DATE(2026,1,1)))/(Q39-P39),2))</f>
        <v>0</v>
      </c>
      <c r="AV39">
        <f t="shared" ref="AV39:AV66" si="22">IF(OR(U39="",V39="",W39="",V39&lt;=U39),0,ROUND(W39*MAX(0,MIN(V39,DATE(2027,1,1))-MAX(U39,DATE(2026,1,1)))/(V39-U39),2))</f>
        <v>0</v>
      </c>
      <c r="AW39">
        <f t="shared" ref="AW39:AW66" si="23">IF(OR(Z39="",AA39="",AB39="",AA39&lt;=Z39),0,ROUND(AB39*MAX(0,MIN(AA39,DATE(2027,1,1))-MAX(Z39,DATE(2026,1,1)))/(AA39-Z39),2))</f>
        <v>0</v>
      </c>
      <c r="AX39">
        <f t="shared" ref="AX39:AX66" si="24">IF(OR(AE39="",AF39="",AG39="",AF39&lt;=AE39),0,ROUND(AG39*MAX(0,MIN(AF39,DATE(2027,1,1))-MAX(AE39,DATE(2026,1,1)))/(AF39-AE39),2))</f>
        <v>0</v>
      </c>
      <c r="AY39">
        <f t="shared" ref="AY39:AY66" si="25">IF(OR(AJ39="",AK39="",AL39="",AK39&lt;=AJ39),0,ROUND(AL39*MAX(0,MIN(AK39,DATE(2027,1,1))-MAX(AJ39,DATE(2026,1,1)))/(AK39-AJ39),2))</f>
        <v>0</v>
      </c>
      <c r="AZ39">
        <f t="shared" ref="AZ39:AZ66" si="26">IF(OR(AO39="",AP39="",AQ39="",AP39&lt;=AO39),0,ROUND(AQ39*MAX(0,MIN(AP39,DATE(2027,1,1))-MAX(AO39,DATE(2026,1,1)))/(AP39-AO39),2))</f>
        <v>0</v>
      </c>
      <c r="BA39"/>
      <c r="BB39"/>
      <c r="BD39"/>
      <c r="BE39"/>
      <c r="BF39"/>
      <c r="BG39"/>
    </row>
    <row r="40" spans="1:59" ht="15" x14ac:dyDescent="0.2">
      <c r="K40" s="45" t="str">
        <f>IF('Навигатор накоплений'!A22="","",IF(34&lt;=DATEDIF('Навигатор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накоплений'!F22,1,0),L39,""))</f>
        <v/>
      </c>
      <c r="L40" s="45" t="str">
        <f>IF(K40="","",MIN(EDATE('Навигатор накоплений'!E22,34),'Навигатор накоплений'!F22))</f>
        <v/>
      </c>
      <c r="M40" s="46" t="str">
        <f>IF(K40="","",ROUND(N39*'Навигатор накоплений'!D22*IF(YEAR(K40)=YEAR(L40-1),(L40-K40)/(DATE(YEAR(K40),12,31)-DATE(YEAR(K40),1,1)+1),(DATE(YEAR(K40)+1,1,1)-K40)/(DATE(YEAR(K40),12,31)-DATE(YEAR(K40),1,1)+1)+(L40-DATE(YEAR(L40),1,1))/(DATE(YEAR(L40),12,31)-DATE(YEAR(L40),1,1)+1)),2))</f>
        <v/>
      </c>
      <c r="N40" s="46" t="str">
        <f>IF(K40="","",ROUND(N39+M40+IF(L40&lt;'Навигатор накоплений'!F22,N('Навигатор накоплений'!G22),0),2))</f>
        <v/>
      </c>
      <c r="P40" s="45" t="str">
        <f>IF('Навигатор накоплений'!A23="","",IF(34&lt;=DATEDIF('Навигатор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накоплений'!F23,1,0),Q39,""))</f>
        <v/>
      </c>
      <c r="Q40" s="45" t="str">
        <f>IF(P40="","",MIN(EDATE('Навигатор накоплений'!E23,34),'Навигатор накоплений'!F23))</f>
        <v/>
      </c>
      <c r="R40" s="46" t="str">
        <f>IF(P40="","",ROUND(S39*'Навигатор накоплений'!D23*IF(YEAR(P40)=YEAR(Q40-1),(Q40-P40)/(DATE(YEAR(P40),12,31)-DATE(YEAR(P40),1,1)+1),(DATE(YEAR(P40)+1,1,1)-P40)/(DATE(YEAR(P40),12,31)-DATE(YEAR(P40),1,1)+1)+(Q40-DATE(YEAR(Q40),1,1))/(DATE(YEAR(Q40),12,31)-DATE(YEAR(Q40),1,1)+1)),2))</f>
        <v/>
      </c>
      <c r="S40" s="46" t="str">
        <f>IF(P40="","",ROUND(S39+R40+IF(Q40&lt;'Навигатор накоплений'!F23,N('Навигатор накоплений'!G23),0),2))</f>
        <v/>
      </c>
      <c r="U40" s="45" t="str">
        <f>IF('Навигатор накоплений'!A24="","",IF(34&lt;=DATEDIF('Навигатор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накоплений'!F24,1,0),V39,""))</f>
        <v/>
      </c>
      <c r="V40" s="45" t="str">
        <f>IF(U40="","",MIN(EDATE('Навигатор накоплений'!E24,34),'Навигатор накоплений'!F24))</f>
        <v/>
      </c>
      <c r="W40" s="46" t="str">
        <f>IF(U40="","",ROUND(X39*'Навигатор накоплений'!D24*IF(YEAR(U40)=YEAR(V40-1),(V40-U40)/(DATE(YEAR(U40),12,31)-DATE(YEAR(U40),1,1)+1),(DATE(YEAR(U40)+1,1,1)-U40)/(DATE(YEAR(U40),12,31)-DATE(YEAR(U40),1,1)+1)+(V40-DATE(YEAR(V40),1,1))/(DATE(YEAR(V40),12,31)-DATE(YEAR(V40),1,1)+1)),2))</f>
        <v/>
      </c>
      <c r="X40" s="46" t="str">
        <f>IF(U40="","",ROUND(X39+W40+IF(V40&lt;'Навигатор накоплений'!F24,N('Навигатор накоплений'!G24),0),2))</f>
        <v/>
      </c>
      <c r="Z40" s="45" t="str">
        <f>IF('Навигатор накоплений'!A25="","",IF(34&lt;=DATEDIF('Навигатор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накоплений'!F25,1,0),AA39,""))</f>
        <v/>
      </c>
      <c r="AA40" s="45" t="str">
        <f>IF(Z40="","",MIN(EDATE('Навигатор накоплений'!E25,34),'Навигатор накоплений'!F25))</f>
        <v/>
      </c>
      <c r="AB40" s="46" t="str">
        <f>IF(Z40="","",ROUND(AC39*'Навигатор накоплений'!D25*IF(YEAR(Z40)=YEAR(AA40-1),(AA40-Z40)/(DATE(YEAR(Z40),12,31)-DATE(YEAR(Z40),1,1)+1),(DATE(YEAR(Z40)+1,1,1)-Z40)/(DATE(YEAR(Z40),12,31)-DATE(YEAR(Z40),1,1)+1)+(AA40-DATE(YEAR(AA40),1,1))/(DATE(YEAR(AA40),12,31)-DATE(YEAR(AA40),1,1)+1)),2))</f>
        <v/>
      </c>
      <c r="AC40" s="46" t="str">
        <f>IF(Z40="","",ROUND(AC39+AB40+IF(AA40&lt;'Навигатор накоплений'!F25,N('Навигатор накоплений'!G25),0),2))</f>
        <v/>
      </c>
      <c r="AE40" t="str">
        <f>IF('Навигатор накоплений'!A26="","",IF(34&lt;=DATEDIF('Навигатор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накоплений'!F26,1,0),AF39,""))</f>
        <v/>
      </c>
      <c r="AF40" t="str">
        <f>IF(AE40="","",MIN(EDATE('Навигатор накоплений'!E26,34),'Навигатор накоплений'!F26))</f>
        <v/>
      </c>
      <c r="AG40" t="str">
        <f>IF(AE40="","",ROUND(AH39*'Навигатор накоплений'!D26*IF(YEAR(AE40)=YEAR(AF40-1),(AF40-AE40)/(DATE(YEAR(AE40),12,31)-DATE(YEAR(AE40),1,1)+1),(DATE(YEAR(AE40)+1,1,1)-AE40)/(DATE(YEAR(AE40),12,31)-DATE(YEAR(AE40),1,1)+1)+(AF40-DATE(YEAR(AF40),1,1))/(DATE(YEAR(AF40),12,31)-DATE(YEAR(AF40),1,1)+1)),2))</f>
        <v/>
      </c>
      <c r="AH40" t="str">
        <f>IF(AE40="","",ROUND(AH39+AG40+IF(AF40&lt;'Навигатор накоплений'!F26,N('Навигатор накоплений'!G26),0),2))</f>
        <v/>
      </c>
      <c r="AJ40" t="str">
        <f>IF('Навигатор накоплений'!A27="","",IF(34&lt;=DATEDIF('Навигатор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накоплений'!F27,1,0),AK39,""))</f>
        <v/>
      </c>
      <c r="AK40" t="str">
        <f>IF(AJ40="","",MIN(EDATE('Навигатор накоплений'!E27,34),'Навигатор накоплений'!F27))</f>
        <v/>
      </c>
      <c r="AL40" t="str">
        <f>IF(AJ40="","",ROUND(AM39*'Навигатор накоплений'!D27*IF(YEAR(AJ40)=YEAR(AK40-1),(AK40-AJ40)/(DATE(YEAR(AJ40),12,31)-DATE(YEAR(AJ40),1,1)+1),(DATE(YEAR(AJ40)+1,1,1)-AJ40)/(DATE(YEAR(AJ40),12,31)-DATE(YEAR(AJ40),1,1)+1)+(AK40-DATE(YEAR(AK40),1,1))/(DATE(YEAR(AK40),12,31)-DATE(YEAR(AK40),1,1)+1)),2))</f>
        <v/>
      </c>
      <c r="AM40" t="str">
        <f>IF(AJ40="","",ROUND(AM39+AL40+IF(AK40&lt;'Навигатор накоплений'!F27,N('Навигатор накоплений'!G27),0),2))</f>
        <v/>
      </c>
      <c r="AO40" t="str">
        <f>IF('Навигатор накоплений'!A28="","",IF(34&lt;=DATEDIF('Навигатор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накоплений'!F28,1,0),AP39,""))</f>
        <v/>
      </c>
      <c r="AP40" t="str">
        <f>IF(AO40="","",MIN(EDATE('Навигатор накоплений'!E28,34),'Навигатор накоплений'!F28))</f>
        <v/>
      </c>
      <c r="AQ40" t="str">
        <f>IF(AO40="","",ROUND(AR39*'Навигатор накоплений'!D28*IF(YEAR(AO40)=YEAR(AP40-1),(AP40-AO40)/(DATE(YEAR(AO40),12,31)-DATE(YEAR(AO40),1,1)+1),(DATE(YEAR(AO40)+1,1,1)-AO40)/(DATE(YEAR(AO40),12,31)-DATE(YEAR(AO40),1,1)+1)+(AP40-DATE(YEAR(AP40),1,1))/(DATE(YEAR(AP40),12,31)-DATE(YEAR(AP40),1,1)+1)),2))</f>
        <v/>
      </c>
      <c r="AR40" t="str">
        <f>IF(AO40="","",ROUND(AR39+AQ40+IF(AP40&lt;'Навигатор накоплений'!F28,N('Навигатор накоплений'!G28),0),2))</f>
        <v/>
      </c>
      <c r="AT40">
        <f t="shared" si="20"/>
        <v>0</v>
      </c>
      <c r="AU40">
        <f t="shared" si="21"/>
        <v>0</v>
      </c>
      <c r="AV40">
        <f t="shared" si="22"/>
        <v>0</v>
      </c>
      <c r="AW40">
        <f t="shared" si="23"/>
        <v>0</v>
      </c>
      <c r="AX40">
        <f t="shared" si="24"/>
        <v>0</v>
      </c>
      <c r="AY40">
        <f t="shared" si="25"/>
        <v>0</v>
      </c>
      <c r="AZ40">
        <f t="shared" si="26"/>
        <v>0</v>
      </c>
      <c r="BA40"/>
      <c r="BB40"/>
      <c r="BD40"/>
      <c r="BE40"/>
      <c r="BF40"/>
      <c r="BG40"/>
    </row>
    <row r="41" spans="1:59" ht="15" x14ac:dyDescent="0.2">
      <c r="K41" s="45" t="str">
        <f>IF('Навигатор накоплений'!A22="","",IF(35&lt;=DATEDIF('Навигатор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накоплений'!F22,1,0),L40,""))</f>
        <v/>
      </c>
      <c r="L41" s="45" t="str">
        <f>IF(K41="","",MIN(EDATE('Навигатор накоплений'!E22,35),'Навигатор накоплений'!F22))</f>
        <v/>
      </c>
      <c r="M41" s="46" t="str">
        <f>IF(K41="","",ROUND(N40*'Навигатор накоплений'!D22*IF(YEAR(K41)=YEAR(L41-1),(L41-K41)/(DATE(YEAR(K41),12,31)-DATE(YEAR(K41),1,1)+1),(DATE(YEAR(K41)+1,1,1)-K41)/(DATE(YEAR(K41),12,31)-DATE(YEAR(K41),1,1)+1)+(L41-DATE(YEAR(L41),1,1))/(DATE(YEAR(L41),12,31)-DATE(YEAR(L41),1,1)+1)),2))</f>
        <v/>
      </c>
      <c r="N41" s="46" t="str">
        <f>IF(K41="","",ROUND(N40+M41+IF(L41&lt;'Навигатор накоплений'!F22,N('Навигатор накоплений'!G22),0),2))</f>
        <v/>
      </c>
      <c r="P41" s="45" t="str">
        <f>IF('Навигатор накоплений'!A23="","",IF(35&lt;=DATEDIF('Навигатор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накоплений'!F23,1,0),Q40,""))</f>
        <v/>
      </c>
      <c r="Q41" s="45" t="str">
        <f>IF(P41="","",MIN(EDATE('Навигатор накоплений'!E23,35),'Навигатор накоплений'!F23))</f>
        <v/>
      </c>
      <c r="R41" s="46" t="str">
        <f>IF(P41="","",ROUND(S40*'Навигатор накоплений'!D23*IF(YEAR(P41)=YEAR(Q41-1),(Q41-P41)/(DATE(YEAR(P41),12,31)-DATE(YEAR(P41),1,1)+1),(DATE(YEAR(P41)+1,1,1)-P41)/(DATE(YEAR(P41),12,31)-DATE(YEAR(P41),1,1)+1)+(Q41-DATE(YEAR(Q41),1,1))/(DATE(YEAR(Q41),12,31)-DATE(YEAR(Q41),1,1)+1)),2))</f>
        <v/>
      </c>
      <c r="S41" s="46" t="str">
        <f>IF(P41="","",ROUND(S40+R41+IF(Q41&lt;'Навигатор накоплений'!F23,N('Навигатор накоплений'!G23),0),2))</f>
        <v/>
      </c>
      <c r="U41" s="45" t="str">
        <f>IF('Навигатор накоплений'!A24="","",IF(35&lt;=DATEDIF('Навигатор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накоплений'!F24,1,0),V40,""))</f>
        <v/>
      </c>
      <c r="V41" s="45" t="str">
        <f>IF(U41="","",MIN(EDATE('Навигатор накоплений'!E24,35),'Навигатор накоплений'!F24))</f>
        <v/>
      </c>
      <c r="W41" s="46" t="str">
        <f>IF(U41="","",ROUND(X40*'Навигатор накоплений'!D24*IF(YEAR(U41)=YEAR(V41-1),(V41-U41)/(DATE(YEAR(U41),12,31)-DATE(YEAR(U41),1,1)+1),(DATE(YEAR(U41)+1,1,1)-U41)/(DATE(YEAR(U41),12,31)-DATE(YEAR(U41),1,1)+1)+(V41-DATE(YEAR(V41),1,1))/(DATE(YEAR(V41),12,31)-DATE(YEAR(V41),1,1)+1)),2))</f>
        <v/>
      </c>
      <c r="X41" s="46" t="str">
        <f>IF(U41="","",ROUND(X40+W41+IF(V41&lt;'Навигатор накоплений'!F24,N('Навигатор накоплений'!G24),0),2))</f>
        <v/>
      </c>
      <c r="Z41" s="45" t="str">
        <f>IF('Навигатор накоплений'!A25="","",IF(35&lt;=DATEDIF('Навигатор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накоплений'!F25,1,0),AA40,""))</f>
        <v/>
      </c>
      <c r="AA41" s="45" t="str">
        <f>IF(Z41="","",MIN(EDATE('Навигатор накоплений'!E25,35),'Навигатор накоплений'!F25))</f>
        <v/>
      </c>
      <c r="AB41" s="46" t="str">
        <f>IF(Z41="","",ROUND(AC40*'Навигатор накоплений'!D25*IF(YEAR(Z41)=YEAR(AA41-1),(AA41-Z41)/(DATE(YEAR(Z41),12,31)-DATE(YEAR(Z41),1,1)+1),(DATE(YEAR(Z41)+1,1,1)-Z41)/(DATE(YEAR(Z41),12,31)-DATE(YEAR(Z41),1,1)+1)+(AA41-DATE(YEAR(AA41),1,1))/(DATE(YEAR(AA41),12,31)-DATE(YEAR(AA41),1,1)+1)),2))</f>
        <v/>
      </c>
      <c r="AC41" s="46" t="str">
        <f>IF(Z41="","",ROUND(AC40+AB41+IF(AA41&lt;'Навигатор накоплений'!F25,N('Навигатор накоплений'!G25),0),2))</f>
        <v/>
      </c>
      <c r="AE41" t="str">
        <f>IF('Навигатор накоплений'!A26="","",IF(35&lt;=DATEDIF('Навигатор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накоплений'!F26,1,0),AF40,""))</f>
        <v/>
      </c>
      <c r="AF41" t="str">
        <f>IF(AE41="","",MIN(EDATE('Навигатор накоплений'!E26,35),'Навигатор накоплений'!F26))</f>
        <v/>
      </c>
      <c r="AG41" t="str">
        <f>IF(AE41="","",ROUND(AH40*'Навигатор накоплений'!D26*IF(YEAR(AE41)=YEAR(AF41-1),(AF41-AE41)/(DATE(YEAR(AE41),12,31)-DATE(YEAR(AE41),1,1)+1),(DATE(YEAR(AE41)+1,1,1)-AE41)/(DATE(YEAR(AE41),12,31)-DATE(YEAR(AE41),1,1)+1)+(AF41-DATE(YEAR(AF41),1,1))/(DATE(YEAR(AF41),12,31)-DATE(YEAR(AF41),1,1)+1)),2))</f>
        <v/>
      </c>
      <c r="AH41" t="str">
        <f>IF(AE41="","",ROUND(AH40+AG41+IF(AF41&lt;'Навигатор накоплений'!F26,N('Навигатор накоплений'!G26),0),2))</f>
        <v/>
      </c>
      <c r="AJ41" t="str">
        <f>IF('Навигатор накоплений'!A27="","",IF(35&lt;=DATEDIF('Навигатор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накоплений'!F27,1,0),AK40,""))</f>
        <v/>
      </c>
      <c r="AK41" t="str">
        <f>IF(AJ41="","",MIN(EDATE('Навигатор накоплений'!E27,35),'Навигатор накоплений'!F27))</f>
        <v/>
      </c>
      <c r="AL41" t="str">
        <f>IF(AJ41="","",ROUND(AM40*'Навигатор накоплений'!D27*IF(YEAR(AJ41)=YEAR(AK41-1),(AK41-AJ41)/(DATE(YEAR(AJ41),12,31)-DATE(YEAR(AJ41),1,1)+1),(DATE(YEAR(AJ41)+1,1,1)-AJ41)/(DATE(YEAR(AJ41),12,31)-DATE(YEAR(AJ41),1,1)+1)+(AK41-DATE(YEAR(AK41),1,1))/(DATE(YEAR(AK41),12,31)-DATE(YEAR(AK41),1,1)+1)),2))</f>
        <v/>
      </c>
      <c r="AM41" t="str">
        <f>IF(AJ41="","",ROUND(AM40+AL41+IF(AK41&lt;'Навигатор накоплений'!F27,N('Навигатор накоплений'!G27),0),2))</f>
        <v/>
      </c>
      <c r="AO41" t="str">
        <f>IF('Навигатор накоплений'!A28="","",IF(35&lt;=DATEDIF('Навигатор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накоплений'!F28,1,0),AP40,""))</f>
        <v/>
      </c>
      <c r="AP41" t="str">
        <f>IF(AO41="","",MIN(EDATE('Навигатор накоплений'!E28,35),'Навигатор накоплений'!F28))</f>
        <v/>
      </c>
      <c r="AQ41" t="str">
        <f>IF(AO41="","",ROUND(AR40*'Навигатор накоплений'!D28*IF(YEAR(AO41)=YEAR(AP41-1),(AP41-AO41)/(DATE(YEAR(AO41),12,31)-DATE(YEAR(AO41),1,1)+1),(DATE(YEAR(AO41)+1,1,1)-AO41)/(DATE(YEAR(AO41),12,31)-DATE(YEAR(AO41),1,1)+1)+(AP41-DATE(YEAR(AP41),1,1))/(DATE(YEAR(AP41),12,31)-DATE(YEAR(AP41),1,1)+1)),2))</f>
        <v/>
      </c>
      <c r="AR41" t="str">
        <f>IF(AO41="","",ROUND(AR40+AQ41+IF(AP41&lt;'Навигатор накоплений'!F28,N('Навигатор накоплений'!G28),0),2))</f>
        <v/>
      </c>
      <c r="AT41">
        <f t="shared" si="20"/>
        <v>0</v>
      </c>
      <c r="AU41">
        <f t="shared" si="21"/>
        <v>0</v>
      </c>
      <c r="AV41">
        <f t="shared" si="22"/>
        <v>0</v>
      </c>
      <c r="AW41">
        <f t="shared" si="23"/>
        <v>0</v>
      </c>
      <c r="AX41">
        <f t="shared" si="24"/>
        <v>0</v>
      </c>
      <c r="AY41">
        <f t="shared" si="25"/>
        <v>0</v>
      </c>
      <c r="AZ41">
        <f t="shared" si="26"/>
        <v>0</v>
      </c>
      <c r="BA41"/>
      <c r="BB41"/>
      <c r="BD41"/>
      <c r="BE41"/>
      <c r="BF41"/>
      <c r="BG41"/>
    </row>
    <row r="42" spans="1:59" ht="15" x14ac:dyDescent="0.2">
      <c r="A42" s="100" t="str">
        <f>IF('Навигатор накоплений'!A33="","Счет не заполнен","Счет: "&amp;'Навигатор накоплений'!A33&amp;" — "&amp;'Навигатор накоплений'!B33)</f>
        <v>Счет не заполнен</v>
      </c>
      <c r="B42" s="100"/>
      <c r="C42" s="100"/>
      <c r="D42" s="100"/>
      <c r="E42" s="100"/>
      <c r="F42" s="100"/>
      <c r="G42" s="100"/>
      <c r="H42" s="100"/>
      <c r="I42" s="100"/>
      <c r="K42" s="45" t="str">
        <f>IF('Навигатор накоплений'!A22="","",IF(36&lt;=DATEDIF('Навигатор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накоплений'!F22,1,0),L41,""))</f>
        <v/>
      </c>
      <c r="L42" s="45" t="str">
        <f>IF(K42="","",MIN(EDATE('Навигатор накоплений'!E22,36),'Навигатор накоплений'!F22))</f>
        <v/>
      </c>
      <c r="M42" s="46" t="str">
        <f>IF(K42="","",ROUND(N41*'Навигатор накоплений'!D22*IF(YEAR(K42)=YEAR(L42-1),(L42-K42)/(DATE(YEAR(K42),12,31)-DATE(YEAR(K42),1,1)+1),(DATE(YEAR(K42)+1,1,1)-K42)/(DATE(YEAR(K42),12,31)-DATE(YEAR(K42),1,1)+1)+(L42-DATE(YEAR(L42),1,1))/(DATE(YEAR(L42),12,31)-DATE(YEAR(L42),1,1)+1)),2))</f>
        <v/>
      </c>
      <c r="N42" s="46" t="str">
        <f>IF(K42="","",ROUND(N41+M42+IF(L42&lt;'Навигатор накоплений'!F22,N('Навигатор накоплений'!G22),0),2))</f>
        <v/>
      </c>
      <c r="P42" s="45" t="str">
        <f>IF('Навигатор накоплений'!A23="","",IF(36&lt;=DATEDIF('Навигатор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накоплений'!F23,1,0),Q41,""))</f>
        <v/>
      </c>
      <c r="Q42" s="45" t="str">
        <f>IF(P42="","",MIN(EDATE('Навигатор накоплений'!E23,36),'Навигатор накоплений'!F23))</f>
        <v/>
      </c>
      <c r="R42" s="46" t="str">
        <f>IF(P42="","",ROUND(S41*'Навигатор накоплений'!D23*IF(YEAR(P42)=YEAR(Q42-1),(Q42-P42)/(DATE(YEAR(P42),12,31)-DATE(YEAR(P42),1,1)+1),(DATE(YEAR(P42)+1,1,1)-P42)/(DATE(YEAR(P42),12,31)-DATE(YEAR(P42),1,1)+1)+(Q42-DATE(YEAR(Q42),1,1))/(DATE(YEAR(Q42),12,31)-DATE(YEAR(Q42),1,1)+1)),2))</f>
        <v/>
      </c>
      <c r="S42" s="46" t="str">
        <f>IF(P42="","",ROUND(S41+R42+IF(Q42&lt;'Навигатор накоплений'!F23,N('Навигатор накоплений'!G23),0),2))</f>
        <v/>
      </c>
      <c r="U42" s="45" t="str">
        <f>IF('Навигатор накоплений'!A24="","",IF(36&lt;=DATEDIF('Навигатор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накоплений'!F24,1,0),V41,""))</f>
        <v/>
      </c>
      <c r="V42" s="45" t="str">
        <f>IF(U42="","",MIN(EDATE('Навигатор накоплений'!E24,36),'Навигатор накоплений'!F24))</f>
        <v/>
      </c>
      <c r="W42" s="46" t="str">
        <f>IF(U42="","",ROUND(X41*'Навигатор накоплений'!D24*IF(YEAR(U42)=YEAR(V42-1),(V42-U42)/(DATE(YEAR(U42),12,31)-DATE(YEAR(U42),1,1)+1),(DATE(YEAR(U42)+1,1,1)-U42)/(DATE(YEAR(U42),12,31)-DATE(YEAR(U42),1,1)+1)+(V42-DATE(YEAR(V42),1,1))/(DATE(YEAR(V42),12,31)-DATE(YEAR(V42),1,1)+1)),2))</f>
        <v/>
      </c>
      <c r="X42" s="46" t="str">
        <f>IF(U42="","",ROUND(X41+W42+IF(V42&lt;'Навигатор накоплений'!F24,N('Навигатор накоплений'!G24),0),2))</f>
        <v/>
      </c>
      <c r="Z42" s="45" t="str">
        <f>IF('Навигатор накоплений'!A25="","",IF(36&lt;=DATEDIF('Навигатор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накоплений'!F25,1,0),AA41,""))</f>
        <v/>
      </c>
      <c r="AA42" s="45" t="str">
        <f>IF(Z42="","",MIN(EDATE('Навигатор накоплений'!E25,36),'Навигатор накоплений'!F25))</f>
        <v/>
      </c>
      <c r="AB42" s="46" t="str">
        <f>IF(Z42="","",ROUND(AC41*'Навигатор накоплений'!D25*IF(YEAR(Z42)=YEAR(AA42-1),(AA42-Z42)/(DATE(YEAR(Z42),12,31)-DATE(YEAR(Z42),1,1)+1),(DATE(YEAR(Z42)+1,1,1)-Z42)/(DATE(YEAR(Z42),12,31)-DATE(YEAR(Z42),1,1)+1)+(AA42-DATE(YEAR(AA42),1,1))/(DATE(YEAR(AA42),12,31)-DATE(YEAR(AA42),1,1)+1)),2))</f>
        <v/>
      </c>
      <c r="AC42" s="46" t="str">
        <f>IF(Z42="","",ROUND(AC41+AB42+IF(AA42&lt;'Навигатор накоплений'!F25,N('Навигатор накоплений'!G25),0),2))</f>
        <v/>
      </c>
      <c r="AE42" t="str">
        <f>IF('Навигатор накоплений'!A26="","",IF(36&lt;=DATEDIF('Навигатор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накоплений'!F26,1,0),AF41,""))</f>
        <v/>
      </c>
      <c r="AF42" t="str">
        <f>IF(AE42="","",MIN(EDATE('Навигатор накоплений'!E26,36),'Навигатор накоплений'!F26))</f>
        <v/>
      </c>
      <c r="AG42" t="str">
        <f>IF(AE42="","",ROUND(AH41*'Навигатор накоплений'!D26*IF(YEAR(AE42)=YEAR(AF42-1),(AF42-AE42)/(DATE(YEAR(AE42),12,31)-DATE(YEAR(AE42),1,1)+1),(DATE(YEAR(AE42)+1,1,1)-AE42)/(DATE(YEAR(AE42),12,31)-DATE(YEAR(AE42),1,1)+1)+(AF42-DATE(YEAR(AF42),1,1))/(DATE(YEAR(AF42),12,31)-DATE(YEAR(AF42),1,1)+1)),2))</f>
        <v/>
      </c>
      <c r="AH42" t="str">
        <f>IF(AE42="","",ROUND(AH41+AG42+IF(AF42&lt;'Навигатор накоплений'!F26,N('Навигатор накоплений'!G26),0),2))</f>
        <v/>
      </c>
      <c r="AJ42" t="str">
        <f>IF('Навигатор накоплений'!A27="","",IF(36&lt;=DATEDIF('Навигатор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накоплений'!F27,1,0),AK41,""))</f>
        <v/>
      </c>
      <c r="AK42" t="str">
        <f>IF(AJ42="","",MIN(EDATE('Навигатор накоплений'!E27,36),'Навигатор накоплений'!F27))</f>
        <v/>
      </c>
      <c r="AL42" t="str">
        <f>IF(AJ42="","",ROUND(AM41*'Навигатор накоплений'!D27*IF(YEAR(AJ42)=YEAR(AK42-1),(AK42-AJ42)/(DATE(YEAR(AJ42),12,31)-DATE(YEAR(AJ42),1,1)+1),(DATE(YEAR(AJ42)+1,1,1)-AJ42)/(DATE(YEAR(AJ42),12,31)-DATE(YEAR(AJ42),1,1)+1)+(AK42-DATE(YEAR(AK42),1,1))/(DATE(YEAR(AK42),12,31)-DATE(YEAR(AK42),1,1)+1)),2))</f>
        <v/>
      </c>
      <c r="AM42" t="str">
        <f>IF(AJ42="","",ROUND(AM41+AL42+IF(AK42&lt;'Навигатор накоплений'!F27,N('Навигатор накоплений'!G27),0),2))</f>
        <v/>
      </c>
      <c r="AO42" t="str">
        <f>IF('Навигатор накоплений'!A28="","",IF(36&lt;=DATEDIF('Навигатор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накоплений'!F28,1,0),AP41,""))</f>
        <v/>
      </c>
      <c r="AP42" t="str">
        <f>IF(AO42="","",MIN(EDATE('Навигатор накоплений'!E28,36),'Навигатор накоплений'!F28))</f>
        <v/>
      </c>
      <c r="AQ42" t="str">
        <f>IF(AO42="","",ROUND(AR41*'Навигатор накоплений'!D28*IF(YEAR(AO42)=YEAR(AP42-1),(AP42-AO42)/(DATE(YEAR(AO42),12,31)-DATE(YEAR(AO42),1,1)+1),(DATE(YEAR(AO42)+1,1,1)-AO42)/(DATE(YEAR(AO42),12,31)-DATE(YEAR(AO42),1,1)+1)+(AP42-DATE(YEAR(AP42),1,1))/(DATE(YEAR(AP42),12,31)-DATE(YEAR(AP42),1,1)+1)),2))</f>
        <v/>
      </c>
      <c r="AR42" t="str">
        <f>IF(AO42="","",ROUND(AR41+AQ42+IF(AP42&lt;'Навигатор накоплений'!F28,N('Навигатор накоплений'!G28),0),2))</f>
        <v/>
      </c>
      <c r="AT42">
        <f t="shared" si="20"/>
        <v>0</v>
      </c>
      <c r="AU42">
        <f t="shared" si="21"/>
        <v>0</v>
      </c>
      <c r="AV42">
        <f t="shared" si="22"/>
        <v>0</v>
      </c>
      <c r="AW42">
        <f t="shared" si="23"/>
        <v>0</v>
      </c>
      <c r="AX42">
        <f t="shared" si="24"/>
        <v>0</v>
      </c>
      <c r="AY42">
        <f t="shared" si="25"/>
        <v>0</v>
      </c>
      <c r="AZ42">
        <f t="shared" si="26"/>
        <v>0</v>
      </c>
      <c r="BA42"/>
      <c r="BB42"/>
      <c r="BD42"/>
      <c r="BE42"/>
      <c r="BF42"/>
      <c r="BG42"/>
    </row>
    <row r="43" spans="1:59" ht="15" x14ac:dyDescent="0.2">
      <c r="A43" s="47" t="s">
        <v>53</v>
      </c>
      <c r="B43" s="47" t="s">
        <v>49</v>
      </c>
      <c r="C43" s="47" t="s">
        <v>50</v>
      </c>
      <c r="D43" s="47" t="s">
        <v>54</v>
      </c>
      <c r="E43" s="47" t="s">
        <v>55</v>
      </c>
      <c r="F43" s="47" t="s">
        <v>56</v>
      </c>
      <c r="G43" s="47" t="s">
        <v>57</v>
      </c>
      <c r="H43" s="47" t="s">
        <v>51</v>
      </c>
      <c r="I43" s="47" t="s">
        <v>52</v>
      </c>
      <c r="K43" s="45" t="str">
        <f>IF('Навигатор накоплений'!A22="","",IF(37&lt;=DATEDIF('Навигатор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накоплений'!F22,1,0),L42,""))</f>
        <v/>
      </c>
      <c r="L43" s="45" t="str">
        <f>IF(K43="","",MIN(EDATE('Навигатор накоплений'!E22,37),'Навигатор накоплений'!F22))</f>
        <v/>
      </c>
      <c r="M43" s="46" t="str">
        <f>IF(K43="","",ROUND(N42*'Навигатор накоплений'!D22*IF(YEAR(K43)=YEAR(L43-1),(L43-K43)/(DATE(YEAR(K43),12,31)-DATE(YEAR(K43),1,1)+1),(DATE(YEAR(K43)+1,1,1)-K43)/(DATE(YEAR(K43),12,31)-DATE(YEAR(K43),1,1)+1)+(L43-DATE(YEAR(L43),1,1))/(DATE(YEAR(L43),12,31)-DATE(YEAR(L43),1,1)+1)),2))</f>
        <v/>
      </c>
      <c r="N43" s="46" t="str">
        <f>IF(K43="","",ROUND(N42+M43+IF(L43&lt;'Навигатор накоплений'!F22,N('Навигатор накоплений'!G22),0),2))</f>
        <v/>
      </c>
      <c r="P43" s="45" t="str">
        <f>IF('Навигатор накоплений'!A23="","",IF(37&lt;=DATEDIF('Навигатор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накоплений'!F23,1,0),Q42,""))</f>
        <v/>
      </c>
      <c r="Q43" s="45" t="str">
        <f>IF(P43="","",MIN(EDATE('Навигатор накоплений'!E23,37),'Навигатор накоплений'!F23))</f>
        <v/>
      </c>
      <c r="R43" s="46" t="str">
        <f>IF(P43="","",ROUND(S42*'Навигатор накоплений'!D23*IF(YEAR(P43)=YEAR(Q43-1),(Q43-P43)/(DATE(YEAR(P43),12,31)-DATE(YEAR(P43),1,1)+1),(DATE(YEAR(P43)+1,1,1)-P43)/(DATE(YEAR(P43),12,31)-DATE(YEAR(P43),1,1)+1)+(Q43-DATE(YEAR(Q43),1,1))/(DATE(YEAR(Q43),12,31)-DATE(YEAR(Q43),1,1)+1)),2))</f>
        <v/>
      </c>
      <c r="S43" s="46" t="str">
        <f>IF(P43="","",ROUND(S42+R43+IF(Q43&lt;'Навигатор накоплений'!F23,N('Навигатор накоплений'!G23),0),2))</f>
        <v/>
      </c>
      <c r="U43" s="45" t="str">
        <f>IF('Навигатор накоплений'!A24="","",IF(37&lt;=DATEDIF('Навигатор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накоплений'!F24,1,0),V42,""))</f>
        <v/>
      </c>
      <c r="V43" s="45" t="str">
        <f>IF(U43="","",MIN(EDATE('Навигатор накоплений'!E24,37),'Навигатор накоплений'!F24))</f>
        <v/>
      </c>
      <c r="W43" s="46" t="str">
        <f>IF(U43="","",ROUND(X42*'Навигатор накоплений'!D24*IF(YEAR(U43)=YEAR(V43-1),(V43-U43)/(DATE(YEAR(U43),12,31)-DATE(YEAR(U43),1,1)+1),(DATE(YEAR(U43)+1,1,1)-U43)/(DATE(YEAR(U43),12,31)-DATE(YEAR(U43),1,1)+1)+(V43-DATE(YEAR(V43),1,1))/(DATE(YEAR(V43),12,31)-DATE(YEAR(V43),1,1)+1)),2))</f>
        <v/>
      </c>
      <c r="X43" s="46" t="str">
        <f>IF(U43="","",ROUND(X42+W43+IF(V43&lt;'Навигатор накоплений'!F24,N('Навигатор накоплений'!G24),0),2))</f>
        <v/>
      </c>
      <c r="Z43" s="45" t="str">
        <f>IF('Навигатор накоплений'!A25="","",IF(37&lt;=DATEDIF('Навигатор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накоплений'!F25,1,0),AA42,""))</f>
        <v/>
      </c>
      <c r="AA43" s="45" t="str">
        <f>IF(Z43="","",MIN(EDATE('Навигатор накоплений'!E25,37),'Навигатор накоплений'!F25))</f>
        <v/>
      </c>
      <c r="AB43" s="46" t="str">
        <f>IF(Z43="","",ROUND(AC42*'Навигатор накоплений'!D25*IF(YEAR(Z43)=YEAR(AA43-1),(AA43-Z43)/(DATE(YEAR(Z43),12,31)-DATE(YEAR(Z43),1,1)+1),(DATE(YEAR(Z43)+1,1,1)-Z43)/(DATE(YEAR(Z43),12,31)-DATE(YEAR(Z43),1,1)+1)+(AA43-DATE(YEAR(AA43),1,1))/(DATE(YEAR(AA43),12,31)-DATE(YEAR(AA43),1,1)+1)),2))</f>
        <v/>
      </c>
      <c r="AC43" s="46" t="str">
        <f>IF(Z43="","",ROUND(AC42+AB43+IF(AA43&lt;'Навигатор накоплений'!F25,N('Навигатор накоплений'!G25),0),2))</f>
        <v/>
      </c>
      <c r="AE43" t="str">
        <f>IF('Навигатор накоплений'!A26="","",IF(37&lt;=DATEDIF('Навигатор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накоплений'!F26,1,0),AF42,""))</f>
        <v/>
      </c>
      <c r="AF43" t="str">
        <f>IF(AE43="","",MIN(EDATE('Навигатор накоплений'!E26,37),'Навигатор накоплений'!F26))</f>
        <v/>
      </c>
      <c r="AG43" t="str">
        <f>IF(AE43="","",ROUND(AH42*'Навигатор накоплений'!D26*IF(YEAR(AE43)=YEAR(AF43-1),(AF43-AE43)/(DATE(YEAR(AE43),12,31)-DATE(YEAR(AE43),1,1)+1),(DATE(YEAR(AE43)+1,1,1)-AE43)/(DATE(YEAR(AE43),12,31)-DATE(YEAR(AE43),1,1)+1)+(AF43-DATE(YEAR(AF43),1,1))/(DATE(YEAR(AF43),12,31)-DATE(YEAR(AF43),1,1)+1)),2))</f>
        <v/>
      </c>
      <c r="AH43" t="str">
        <f>IF(AE43="","",ROUND(AH42+AG43+IF(AF43&lt;'Навигатор накоплений'!F26,N('Навигатор накоплений'!G26),0),2))</f>
        <v/>
      </c>
      <c r="AJ43" t="str">
        <f>IF('Навигатор накоплений'!A27="","",IF(37&lt;=DATEDIF('Навигатор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накоплений'!F27,1,0),AK42,""))</f>
        <v/>
      </c>
      <c r="AK43" t="str">
        <f>IF(AJ43="","",MIN(EDATE('Навигатор накоплений'!E27,37),'Навигатор накоплений'!F27))</f>
        <v/>
      </c>
      <c r="AL43" t="str">
        <f>IF(AJ43="","",ROUND(AM42*'Навигатор накоплений'!D27*IF(YEAR(AJ43)=YEAR(AK43-1),(AK43-AJ43)/(DATE(YEAR(AJ43),12,31)-DATE(YEAR(AJ43),1,1)+1),(DATE(YEAR(AJ43)+1,1,1)-AJ43)/(DATE(YEAR(AJ43),12,31)-DATE(YEAR(AJ43),1,1)+1)+(AK43-DATE(YEAR(AK43),1,1))/(DATE(YEAR(AK43),12,31)-DATE(YEAR(AK43),1,1)+1)),2))</f>
        <v/>
      </c>
      <c r="AM43" t="str">
        <f>IF(AJ43="","",ROUND(AM42+AL43+IF(AK43&lt;'Навигатор накоплений'!F27,N('Навигатор накоплений'!G27),0),2))</f>
        <v/>
      </c>
      <c r="AO43" t="str">
        <f>IF('Навигатор накоплений'!A28="","",IF(37&lt;=DATEDIF('Навигатор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накоплений'!F28,1,0),AP42,""))</f>
        <v/>
      </c>
      <c r="AP43" t="str">
        <f>IF(AO43="","",MIN(EDATE('Навигатор накоплений'!E28,37),'Навигатор накоплений'!F28))</f>
        <v/>
      </c>
      <c r="AQ43" t="str">
        <f>IF(AO43="","",ROUND(AR42*'Навигатор накоплений'!D28*IF(YEAR(AO43)=YEAR(AP43-1),(AP43-AO43)/(DATE(YEAR(AO43),12,31)-DATE(YEAR(AO43),1,1)+1),(DATE(YEAR(AO43)+1,1,1)-AO43)/(DATE(YEAR(AO43),12,31)-DATE(YEAR(AO43),1,1)+1)+(AP43-DATE(YEAR(AP43),1,1))/(DATE(YEAR(AP43),12,31)-DATE(YEAR(AP43),1,1)+1)),2))</f>
        <v/>
      </c>
      <c r="AR43" t="str">
        <f>IF(AO43="","",ROUND(AR42+AQ43+IF(AP43&lt;'Навигатор накоплений'!F28,N('Навигатор накоплений'!G28),0),2))</f>
        <v/>
      </c>
      <c r="AT43">
        <f t="shared" si="20"/>
        <v>0</v>
      </c>
      <c r="AU43">
        <f t="shared" si="21"/>
        <v>0</v>
      </c>
      <c r="AV43">
        <f t="shared" si="22"/>
        <v>0</v>
      </c>
      <c r="AW43">
        <f t="shared" si="23"/>
        <v>0</v>
      </c>
      <c r="AX43">
        <f t="shared" si="24"/>
        <v>0</v>
      </c>
      <c r="AY43">
        <f t="shared" si="25"/>
        <v>0</v>
      </c>
      <c r="AZ43">
        <f t="shared" si="26"/>
        <v>0</v>
      </c>
      <c r="BA43"/>
      <c r="BB43"/>
      <c r="BD43"/>
      <c r="BE43"/>
      <c r="BF43"/>
      <c r="BG43"/>
    </row>
    <row r="44" spans="1:59" ht="15" x14ac:dyDescent="0.2">
      <c r="A44" s="43">
        <v>1</v>
      </c>
      <c r="B44" s="45" t="str">
        <f>IF('Навигатор накоплений'!A33="","",EDATE('Навигатор накоплений'!C33,A44-1))</f>
        <v/>
      </c>
      <c r="C44" s="45" t="str">
        <f>IF(B44="","",EDATE('Навигатор накоплений'!C33,A44))</f>
        <v/>
      </c>
      <c r="D44" s="46" t="str">
        <f>IF(B44="","",'Навигатор накоплений'!D33)</f>
        <v/>
      </c>
      <c r="E44" s="46" t="str">
        <f>IF(B44="","",N('Навигатор накоплений'!G33))</f>
        <v/>
      </c>
      <c r="F44" s="46" t="str">
        <f>IF(B44="","",IF('Навигатор накоплений'!F33="Ежедневный остаток",D44+E44,D44))</f>
        <v/>
      </c>
      <c r="G44" s="48" t="str">
        <f t="shared" ref="G44:G55" si="27">IF(B44="","",C44-B44)</f>
        <v/>
      </c>
      <c r="H44" s="46" t="str">
        <f>IF(B44="","",ROUND(F44*'Навигатор накоплений'!E33*IF(YEAR(B44)=YEAR(C44-1),(C44-B44)/(DATE(YEAR(B44),12,31)-DATE(YEAR(B44),1,1)+1),(DATE(YEAR(B44)+1,1,1)-B44)/(DATE(YEAR(B44),12,31)-DATE(YEAR(B44),1,1)+1)+(C44-DATE(YEAR(C44),1,1))/(DATE(YEAR(C44),12,31)-DATE(YEAR(C44),1,1)+1)),2))</f>
        <v/>
      </c>
      <c r="I44" s="46" t="str">
        <f t="shared" ref="I44:I55" si="28">IF(B44="","",ROUND(D44+E44+H44,2))</f>
        <v/>
      </c>
      <c r="K44" s="45" t="str">
        <f>IF('Навигатор накоплений'!A22="","",IF(38&lt;=DATEDIF('Навигатор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накоплений'!F22,1,0),L43,""))</f>
        <v/>
      </c>
      <c r="L44" s="45" t="str">
        <f>IF(K44="","",MIN(EDATE('Навигатор накоплений'!E22,38),'Навигатор накоплений'!F22))</f>
        <v/>
      </c>
      <c r="M44" s="46" t="str">
        <f>IF(K44="","",ROUND(N43*'Навигатор накоплений'!D22*IF(YEAR(K44)=YEAR(L44-1),(L44-K44)/(DATE(YEAR(K44),12,31)-DATE(YEAR(K44),1,1)+1),(DATE(YEAR(K44)+1,1,1)-K44)/(DATE(YEAR(K44),12,31)-DATE(YEAR(K44),1,1)+1)+(L44-DATE(YEAR(L44),1,1))/(DATE(YEAR(L44),12,31)-DATE(YEAR(L44),1,1)+1)),2))</f>
        <v/>
      </c>
      <c r="N44" s="46" t="str">
        <f>IF(K44="","",ROUND(N43+M44+IF(L44&lt;'Навигатор накоплений'!F22,N('Навигатор накоплений'!G22),0),2))</f>
        <v/>
      </c>
      <c r="P44" s="45" t="str">
        <f>IF('Навигатор накоплений'!A23="","",IF(38&lt;=DATEDIF('Навигатор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накоплений'!F23,1,0),Q43,""))</f>
        <v/>
      </c>
      <c r="Q44" s="45" t="str">
        <f>IF(P44="","",MIN(EDATE('Навигатор накоплений'!E23,38),'Навигатор накоплений'!F23))</f>
        <v/>
      </c>
      <c r="R44" s="46" t="str">
        <f>IF(P44="","",ROUND(S43*'Навигатор накоплений'!D23*IF(YEAR(P44)=YEAR(Q44-1),(Q44-P44)/(DATE(YEAR(P44),12,31)-DATE(YEAR(P44),1,1)+1),(DATE(YEAR(P44)+1,1,1)-P44)/(DATE(YEAR(P44),12,31)-DATE(YEAR(P44),1,1)+1)+(Q44-DATE(YEAR(Q44),1,1))/(DATE(YEAR(Q44),12,31)-DATE(YEAR(Q44),1,1)+1)),2))</f>
        <v/>
      </c>
      <c r="S44" s="46" t="str">
        <f>IF(P44="","",ROUND(S43+R44+IF(Q44&lt;'Навигатор накоплений'!F23,N('Навигатор накоплений'!G23),0),2))</f>
        <v/>
      </c>
      <c r="U44" s="45" t="str">
        <f>IF('Навигатор накоплений'!A24="","",IF(38&lt;=DATEDIF('Навигатор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накоплений'!F24,1,0),V43,""))</f>
        <v/>
      </c>
      <c r="V44" s="45" t="str">
        <f>IF(U44="","",MIN(EDATE('Навигатор накоплений'!E24,38),'Навигатор накоплений'!F24))</f>
        <v/>
      </c>
      <c r="W44" s="46" t="str">
        <f>IF(U44="","",ROUND(X43*'Навигатор накоплений'!D24*IF(YEAR(U44)=YEAR(V44-1),(V44-U44)/(DATE(YEAR(U44),12,31)-DATE(YEAR(U44),1,1)+1),(DATE(YEAR(U44)+1,1,1)-U44)/(DATE(YEAR(U44),12,31)-DATE(YEAR(U44),1,1)+1)+(V44-DATE(YEAR(V44),1,1))/(DATE(YEAR(V44),12,31)-DATE(YEAR(V44),1,1)+1)),2))</f>
        <v/>
      </c>
      <c r="X44" s="46" t="str">
        <f>IF(U44="","",ROUND(X43+W44+IF(V44&lt;'Навигатор накоплений'!F24,N('Навигатор накоплений'!G24),0),2))</f>
        <v/>
      </c>
      <c r="Z44" s="45" t="str">
        <f>IF('Навигатор накоплений'!A25="","",IF(38&lt;=DATEDIF('Навигатор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накоплений'!F25,1,0),AA43,""))</f>
        <v/>
      </c>
      <c r="AA44" s="45" t="str">
        <f>IF(Z44="","",MIN(EDATE('Навигатор накоплений'!E25,38),'Навигатор накоплений'!F25))</f>
        <v/>
      </c>
      <c r="AB44" s="46" t="str">
        <f>IF(Z44="","",ROUND(AC43*'Навигатор накоплений'!D25*IF(YEAR(Z44)=YEAR(AA44-1),(AA44-Z44)/(DATE(YEAR(Z44),12,31)-DATE(YEAR(Z44),1,1)+1),(DATE(YEAR(Z44)+1,1,1)-Z44)/(DATE(YEAR(Z44),12,31)-DATE(YEAR(Z44),1,1)+1)+(AA44-DATE(YEAR(AA44),1,1))/(DATE(YEAR(AA44),12,31)-DATE(YEAR(AA44),1,1)+1)),2))</f>
        <v/>
      </c>
      <c r="AC44" s="46" t="str">
        <f>IF(Z44="","",ROUND(AC43+AB44+IF(AA44&lt;'Навигатор накоплений'!F25,N('Навигатор накоплений'!G25),0),2))</f>
        <v/>
      </c>
      <c r="AE44" t="str">
        <f>IF('Навигатор накоплений'!A26="","",IF(38&lt;=DATEDIF('Навигатор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накоплений'!F26,1,0),AF43,""))</f>
        <v/>
      </c>
      <c r="AF44" t="str">
        <f>IF(AE44="","",MIN(EDATE('Навигатор накоплений'!E26,38),'Навигатор накоплений'!F26))</f>
        <v/>
      </c>
      <c r="AG44" t="str">
        <f>IF(AE44="","",ROUND(AH43*'Навигатор накоплений'!D26*IF(YEAR(AE44)=YEAR(AF44-1),(AF44-AE44)/(DATE(YEAR(AE44),12,31)-DATE(YEAR(AE44),1,1)+1),(DATE(YEAR(AE44)+1,1,1)-AE44)/(DATE(YEAR(AE44),12,31)-DATE(YEAR(AE44),1,1)+1)+(AF44-DATE(YEAR(AF44),1,1))/(DATE(YEAR(AF44),12,31)-DATE(YEAR(AF44),1,1)+1)),2))</f>
        <v/>
      </c>
      <c r="AH44" t="str">
        <f>IF(AE44="","",ROUND(AH43+AG44+IF(AF44&lt;'Навигатор накоплений'!F26,N('Навигатор накоплений'!G26),0),2))</f>
        <v/>
      </c>
      <c r="AJ44" t="str">
        <f>IF('Навигатор накоплений'!A27="","",IF(38&lt;=DATEDIF('Навигатор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накоплений'!F27,1,0),AK43,""))</f>
        <v/>
      </c>
      <c r="AK44" t="str">
        <f>IF(AJ44="","",MIN(EDATE('Навигатор накоплений'!E27,38),'Навигатор накоплений'!F27))</f>
        <v/>
      </c>
      <c r="AL44" t="str">
        <f>IF(AJ44="","",ROUND(AM43*'Навигатор накоплений'!D27*IF(YEAR(AJ44)=YEAR(AK44-1),(AK44-AJ44)/(DATE(YEAR(AJ44),12,31)-DATE(YEAR(AJ44),1,1)+1),(DATE(YEAR(AJ44)+1,1,1)-AJ44)/(DATE(YEAR(AJ44),12,31)-DATE(YEAR(AJ44),1,1)+1)+(AK44-DATE(YEAR(AK44),1,1))/(DATE(YEAR(AK44),12,31)-DATE(YEAR(AK44),1,1)+1)),2))</f>
        <v/>
      </c>
      <c r="AM44" t="str">
        <f>IF(AJ44="","",ROUND(AM43+AL44+IF(AK44&lt;'Навигатор накоплений'!F27,N('Навигатор накоплений'!G27),0),2))</f>
        <v/>
      </c>
      <c r="AO44" t="str">
        <f>IF('Навигатор накоплений'!A28="","",IF(38&lt;=DATEDIF('Навигатор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накоплений'!F28,1,0),AP43,""))</f>
        <v/>
      </c>
      <c r="AP44" t="str">
        <f>IF(AO44="","",MIN(EDATE('Навигатор накоплений'!E28,38),'Навигатор накоплений'!F28))</f>
        <v/>
      </c>
      <c r="AQ44" t="str">
        <f>IF(AO44="","",ROUND(AR43*'Навигатор накоплений'!D28*IF(YEAR(AO44)=YEAR(AP44-1),(AP44-AO44)/(DATE(YEAR(AO44),12,31)-DATE(YEAR(AO44),1,1)+1),(DATE(YEAR(AO44)+1,1,1)-AO44)/(DATE(YEAR(AO44),12,31)-DATE(YEAR(AO44),1,1)+1)+(AP44-DATE(YEAR(AP44),1,1))/(DATE(YEAR(AP44),12,31)-DATE(YEAR(AP44),1,1)+1)),2))</f>
        <v/>
      </c>
      <c r="AR44" t="str">
        <f>IF(AO44="","",ROUND(AR43+AQ44+IF(AP44&lt;'Навигатор накоплений'!F28,N('Навигатор накоплений'!G28),0),2))</f>
        <v/>
      </c>
      <c r="AT44">
        <f t="shared" si="20"/>
        <v>0</v>
      </c>
      <c r="AU44">
        <f t="shared" si="21"/>
        <v>0</v>
      </c>
      <c r="AV44">
        <f t="shared" si="22"/>
        <v>0</v>
      </c>
      <c r="AW44">
        <f t="shared" si="23"/>
        <v>0</v>
      </c>
      <c r="AX44">
        <f t="shared" si="24"/>
        <v>0</v>
      </c>
      <c r="AY44">
        <f t="shared" si="25"/>
        <v>0</v>
      </c>
      <c r="AZ44">
        <f t="shared" si="26"/>
        <v>0</v>
      </c>
      <c r="BA44"/>
      <c r="BB44"/>
      <c r="BD44"/>
      <c r="BE44"/>
      <c r="BF44"/>
      <c r="BG44"/>
    </row>
    <row r="45" spans="1:59" ht="15" x14ac:dyDescent="0.2">
      <c r="A45" s="43">
        <v>2</v>
      </c>
      <c r="B45" s="45" t="str">
        <f>IF('Навигатор накоплений'!A33="","",EDATE('Навигатор накоплений'!C33,A45-1))</f>
        <v/>
      </c>
      <c r="C45" s="45" t="str">
        <f>IF(B45="","",EDATE('Навигатор накоплений'!C33,A45))</f>
        <v/>
      </c>
      <c r="D45" s="46" t="str">
        <f t="shared" ref="D45:D55" si="29">IF(B45="","",I44)</f>
        <v/>
      </c>
      <c r="E45" s="46" t="str">
        <f>IF(B45="","",N('Навигатор накоплений'!G33))</f>
        <v/>
      </c>
      <c r="F45" s="46" t="str">
        <f>IF(B45="","",IF('Навигатор накоплений'!F33="Ежедневный остаток",D45+E45,D45))</f>
        <v/>
      </c>
      <c r="G45" s="48" t="str">
        <f t="shared" si="27"/>
        <v/>
      </c>
      <c r="H45" s="46" t="str">
        <f>IF(B45="","",ROUND(F45*'Навигатор накоплений'!E33*IF(YEAR(B45)=YEAR(C45-1),(C45-B45)/(DATE(YEAR(B45),12,31)-DATE(YEAR(B45),1,1)+1),(DATE(YEAR(B45)+1,1,1)-B45)/(DATE(YEAR(B45),12,31)-DATE(YEAR(B45),1,1)+1)+(C45-DATE(YEAR(C45),1,1))/(DATE(YEAR(C45),12,31)-DATE(YEAR(C45),1,1)+1)),2))</f>
        <v/>
      </c>
      <c r="I45" s="46" t="str">
        <f t="shared" si="28"/>
        <v/>
      </c>
      <c r="K45" s="45" t="str">
        <f>IF('Навигатор накоплений'!A22="","",IF(39&lt;=DATEDIF('Навигатор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накоплений'!F22,1,0),L44,""))</f>
        <v/>
      </c>
      <c r="L45" s="45" t="str">
        <f>IF(K45="","",MIN(EDATE('Навигатор накоплений'!E22,39),'Навигатор накоплений'!F22))</f>
        <v/>
      </c>
      <c r="M45" s="46" t="str">
        <f>IF(K45="","",ROUND(N44*'Навигатор накоплений'!D22*IF(YEAR(K45)=YEAR(L45-1),(L45-K45)/(DATE(YEAR(K45),12,31)-DATE(YEAR(K45),1,1)+1),(DATE(YEAR(K45)+1,1,1)-K45)/(DATE(YEAR(K45),12,31)-DATE(YEAR(K45),1,1)+1)+(L45-DATE(YEAR(L45),1,1))/(DATE(YEAR(L45),12,31)-DATE(YEAR(L45),1,1)+1)),2))</f>
        <v/>
      </c>
      <c r="N45" s="46" t="str">
        <f>IF(K45="","",ROUND(N44+M45+IF(L45&lt;'Навигатор накоплений'!F22,N('Навигатор накоплений'!G22),0),2))</f>
        <v/>
      </c>
      <c r="P45" s="45" t="str">
        <f>IF('Навигатор накоплений'!A23="","",IF(39&lt;=DATEDIF('Навигатор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накоплений'!F23,1,0),Q44,""))</f>
        <v/>
      </c>
      <c r="Q45" s="45" t="str">
        <f>IF(P45="","",MIN(EDATE('Навигатор накоплений'!E23,39),'Навигатор накоплений'!F23))</f>
        <v/>
      </c>
      <c r="R45" s="46" t="str">
        <f>IF(P45="","",ROUND(S44*'Навигатор накоплений'!D23*IF(YEAR(P45)=YEAR(Q45-1),(Q45-P45)/(DATE(YEAR(P45),12,31)-DATE(YEAR(P45),1,1)+1),(DATE(YEAR(P45)+1,1,1)-P45)/(DATE(YEAR(P45),12,31)-DATE(YEAR(P45),1,1)+1)+(Q45-DATE(YEAR(Q45),1,1))/(DATE(YEAR(Q45),12,31)-DATE(YEAR(Q45),1,1)+1)),2))</f>
        <v/>
      </c>
      <c r="S45" s="46" t="str">
        <f>IF(P45="","",ROUND(S44+R45+IF(Q45&lt;'Навигатор накоплений'!F23,N('Навигатор накоплений'!G23),0),2))</f>
        <v/>
      </c>
      <c r="U45" s="45" t="str">
        <f>IF('Навигатор накоплений'!A24="","",IF(39&lt;=DATEDIF('Навигатор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накоплений'!F24,1,0),V44,""))</f>
        <v/>
      </c>
      <c r="V45" s="45" t="str">
        <f>IF(U45="","",MIN(EDATE('Навигатор накоплений'!E24,39),'Навигатор накоплений'!F24))</f>
        <v/>
      </c>
      <c r="W45" s="46" t="str">
        <f>IF(U45="","",ROUND(X44*'Навигатор накоплений'!D24*IF(YEAR(U45)=YEAR(V45-1),(V45-U45)/(DATE(YEAR(U45),12,31)-DATE(YEAR(U45),1,1)+1),(DATE(YEAR(U45)+1,1,1)-U45)/(DATE(YEAR(U45),12,31)-DATE(YEAR(U45),1,1)+1)+(V45-DATE(YEAR(V45),1,1))/(DATE(YEAR(V45),12,31)-DATE(YEAR(V45),1,1)+1)),2))</f>
        <v/>
      </c>
      <c r="X45" s="46" t="str">
        <f>IF(U45="","",ROUND(X44+W45+IF(V45&lt;'Навигатор накоплений'!F24,N('Навигатор накоплений'!G24),0),2))</f>
        <v/>
      </c>
      <c r="Z45" s="45" t="str">
        <f>IF('Навигатор накоплений'!A25="","",IF(39&lt;=DATEDIF('Навигатор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накоплений'!F25,1,0),AA44,""))</f>
        <v/>
      </c>
      <c r="AA45" s="45" t="str">
        <f>IF(Z45="","",MIN(EDATE('Навигатор накоплений'!E25,39),'Навигатор накоплений'!F25))</f>
        <v/>
      </c>
      <c r="AB45" s="46" t="str">
        <f>IF(Z45="","",ROUND(AC44*'Навигатор накоплений'!D25*IF(YEAR(Z45)=YEAR(AA45-1),(AA45-Z45)/(DATE(YEAR(Z45),12,31)-DATE(YEAR(Z45),1,1)+1),(DATE(YEAR(Z45)+1,1,1)-Z45)/(DATE(YEAR(Z45),12,31)-DATE(YEAR(Z45),1,1)+1)+(AA45-DATE(YEAR(AA45),1,1))/(DATE(YEAR(AA45),12,31)-DATE(YEAR(AA45),1,1)+1)),2))</f>
        <v/>
      </c>
      <c r="AC45" s="46" t="str">
        <f>IF(Z45="","",ROUND(AC44+AB45+IF(AA45&lt;'Навигатор накоплений'!F25,N('Навигатор накоплений'!G25),0),2))</f>
        <v/>
      </c>
      <c r="AE45" t="str">
        <f>IF('Навигатор накоплений'!A26="","",IF(39&lt;=DATEDIF('Навигатор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накоплений'!F26,1,0),AF44,""))</f>
        <v/>
      </c>
      <c r="AF45" t="str">
        <f>IF(AE45="","",MIN(EDATE('Навигатор накоплений'!E26,39),'Навигатор накоплений'!F26))</f>
        <v/>
      </c>
      <c r="AG45" t="str">
        <f>IF(AE45="","",ROUND(AH44*'Навигатор накоплений'!D26*IF(YEAR(AE45)=YEAR(AF45-1),(AF45-AE45)/(DATE(YEAR(AE45),12,31)-DATE(YEAR(AE45),1,1)+1),(DATE(YEAR(AE45)+1,1,1)-AE45)/(DATE(YEAR(AE45),12,31)-DATE(YEAR(AE45),1,1)+1)+(AF45-DATE(YEAR(AF45),1,1))/(DATE(YEAR(AF45),12,31)-DATE(YEAR(AF45),1,1)+1)),2))</f>
        <v/>
      </c>
      <c r="AH45" t="str">
        <f>IF(AE45="","",ROUND(AH44+AG45+IF(AF45&lt;'Навигатор накоплений'!F26,N('Навигатор накоплений'!G26),0),2))</f>
        <v/>
      </c>
      <c r="AJ45" t="str">
        <f>IF('Навигатор накоплений'!A27="","",IF(39&lt;=DATEDIF('Навигатор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накоплений'!F27,1,0),AK44,""))</f>
        <v/>
      </c>
      <c r="AK45" t="str">
        <f>IF(AJ45="","",MIN(EDATE('Навигатор накоплений'!E27,39),'Навигатор накоплений'!F27))</f>
        <v/>
      </c>
      <c r="AL45" t="str">
        <f>IF(AJ45="","",ROUND(AM44*'Навигатор накоплений'!D27*IF(YEAR(AJ45)=YEAR(AK45-1),(AK45-AJ45)/(DATE(YEAR(AJ45),12,31)-DATE(YEAR(AJ45),1,1)+1),(DATE(YEAR(AJ45)+1,1,1)-AJ45)/(DATE(YEAR(AJ45),12,31)-DATE(YEAR(AJ45),1,1)+1)+(AK45-DATE(YEAR(AK45),1,1))/(DATE(YEAR(AK45),12,31)-DATE(YEAR(AK45),1,1)+1)),2))</f>
        <v/>
      </c>
      <c r="AM45" t="str">
        <f>IF(AJ45="","",ROUND(AM44+AL45+IF(AK45&lt;'Навигатор накоплений'!F27,N('Навигатор накоплений'!G27),0),2))</f>
        <v/>
      </c>
      <c r="AO45" t="str">
        <f>IF('Навигатор накоплений'!A28="","",IF(39&lt;=DATEDIF('Навигатор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накоплений'!F28,1,0),AP44,""))</f>
        <v/>
      </c>
      <c r="AP45" t="str">
        <f>IF(AO45="","",MIN(EDATE('Навигатор накоплений'!E28,39),'Навигатор накоплений'!F28))</f>
        <v/>
      </c>
      <c r="AQ45" t="str">
        <f>IF(AO45="","",ROUND(AR44*'Навигатор накоплений'!D28*IF(YEAR(AO45)=YEAR(AP45-1),(AP45-AO45)/(DATE(YEAR(AO45),12,31)-DATE(YEAR(AO45),1,1)+1),(DATE(YEAR(AO45)+1,1,1)-AO45)/(DATE(YEAR(AO45),12,31)-DATE(YEAR(AO45),1,1)+1)+(AP45-DATE(YEAR(AP45),1,1))/(DATE(YEAR(AP45),12,31)-DATE(YEAR(AP45),1,1)+1)),2))</f>
        <v/>
      </c>
      <c r="AR45" t="str">
        <f>IF(AO45="","",ROUND(AR44+AQ45+IF(AP45&lt;'Навигатор накоплений'!F28,N('Навигатор накоплений'!G28),0),2))</f>
        <v/>
      </c>
      <c r="AT45">
        <f t="shared" si="20"/>
        <v>0</v>
      </c>
      <c r="AU45">
        <f t="shared" si="21"/>
        <v>0</v>
      </c>
      <c r="AV45">
        <f t="shared" si="22"/>
        <v>0</v>
      </c>
      <c r="AW45">
        <f t="shared" si="23"/>
        <v>0</v>
      </c>
      <c r="AX45">
        <f t="shared" si="24"/>
        <v>0</v>
      </c>
      <c r="AY45">
        <f t="shared" si="25"/>
        <v>0</v>
      </c>
      <c r="AZ45">
        <f t="shared" si="26"/>
        <v>0</v>
      </c>
      <c r="BA45"/>
      <c r="BB45"/>
      <c r="BD45"/>
      <c r="BE45"/>
      <c r="BF45"/>
      <c r="BG45"/>
    </row>
    <row r="46" spans="1:59" ht="15" x14ac:dyDescent="0.2">
      <c r="A46" s="43">
        <v>3</v>
      </c>
      <c r="B46" s="45" t="str">
        <f>IF('Навигатор накоплений'!A33="","",EDATE('Навигатор накоплений'!C33,A46-1))</f>
        <v/>
      </c>
      <c r="C46" s="45" t="str">
        <f>IF(B46="","",EDATE('Навигатор накоплений'!C33,A46))</f>
        <v/>
      </c>
      <c r="D46" s="46" t="str">
        <f t="shared" si="29"/>
        <v/>
      </c>
      <c r="E46" s="46" t="str">
        <f>IF(B46="","",N('Навигатор накоплений'!G33))</f>
        <v/>
      </c>
      <c r="F46" s="46" t="str">
        <f>IF(B46="","",IF('Навигатор накоплений'!F33="Ежедневный остаток",D46+E46,D46))</f>
        <v/>
      </c>
      <c r="G46" s="48" t="str">
        <f t="shared" si="27"/>
        <v/>
      </c>
      <c r="H46" s="46" t="str">
        <f>IF(B46="","",ROUND(F46*'Навигатор накоплений'!E33*IF(YEAR(B46)=YEAR(C46-1),(C46-B46)/(DATE(YEAR(B46),12,31)-DATE(YEAR(B46),1,1)+1),(DATE(YEAR(B46)+1,1,1)-B46)/(DATE(YEAR(B46),12,31)-DATE(YEAR(B46),1,1)+1)+(C46-DATE(YEAR(C46),1,1))/(DATE(YEAR(C46),12,31)-DATE(YEAR(C46),1,1)+1)),2))</f>
        <v/>
      </c>
      <c r="I46" s="46" t="str">
        <f t="shared" si="28"/>
        <v/>
      </c>
      <c r="K46" s="45" t="str">
        <f>IF('Навигатор накоплений'!A22="","",IF(40&lt;=DATEDIF('Навигатор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накоплений'!F22,1,0),L45,""))</f>
        <v/>
      </c>
      <c r="L46" s="45" t="str">
        <f>IF(K46="","",MIN(EDATE('Навигатор накоплений'!E22,40),'Навигатор накоплений'!F22))</f>
        <v/>
      </c>
      <c r="M46" s="46" t="str">
        <f>IF(K46="","",ROUND(N45*'Навигатор накоплений'!D22*IF(YEAR(K46)=YEAR(L46-1),(L46-K46)/(DATE(YEAR(K46),12,31)-DATE(YEAR(K46),1,1)+1),(DATE(YEAR(K46)+1,1,1)-K46)/(DATE(YEAR(K46),12,31)-DATE(YEAR(K46),1,1)+1)+(L46-DATE(YEAR(L46),1,1))/(DATE(YEAR(L46),12,31)-DATE(YEAR(L46),1,1)+1)),2))</f>
        <v/>
      </c>
      <c r="N46" s="46" t="str">
        <f>IF(K46="","",ROUND(N45+M46+IF(L46&lt;'Навигатор накоплений'!F22,N('Навигатор накоплений'!G22),0),2))</f>
        <v/>
      </c>
      <c r="P46" s="45" t="str">
        <f>IF('Навигатор накоплений'!A23="","",IF(40&lt;=DATEDIF('Навигатор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накоплений'!F23,1,0),Q45,""))</f>
        <v/>
      </c>
      <c r="Q46" s="45" t="str">
        <f>IF(P46="","",MIN(EDATE('Навигатор накоплений'!E23,40),'Навигатор накоплений'!F23))</f>
        <v/>
      </c>
      <c r="R46" s="46" t="str">
        <f>IF(P46="","",ROUND(S45*'Навигатор накоплений'!D23*IF(YEAR(P46)=YEAR(Q46-1),(Q46-P46)/(DATE(YEAR(P46),12,31)-DATE(YEAR(P46),1,1)+1),(DATE(YEAR(P46)+1,1,1)-P46)/(DATE(YEAR(P46),12,31)-DATE(YEAR(P46),1,1)+1)+(Q46-DATE(YEAR(Q46),1,1))/(DATE(YEAR(Q46),12,31)-DATE(YEAR(Q46),1,1)+1)),2))</f>
        <v/>
      </c>
      <c r="S46" s="46" t="str">
        <f>IF(P46="","",ROUND(S45+R46+IF(Q46&lt;'Навигатор накоплений'!F23,N('Навигатор накоплений'!G23),0),2))</f>
        <v/>
      </c>
      <c r="U46" s="45" t="str">
        <f>IF('Навигатор накоплений'!A24="","",IF(40&lt;=DATEDIF('Навигатор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накоплений'!F24,1,0),V45,""))</f>
        <v/>
      </c>
      <c r="V46" s="45" t="str">
        <f>IF(U46="","",MIN(EDATE('Навигатор накоплений'!E24,40),'Навигатор накоплений'!F24))</f>
        <v/>
      </c>
      <c r="W46" s="46" t="str">
        <f>IF(U46="","",ROUND(X45*'Навигатор накоплений'!D24*IF(YEAR(U46)=YEAR(V46-1),(V46-U46)/(DATE(YEAR(U46),12,31)-DATE(YEAR(U46),1,1)+1),(DATE(YEAR(U46)+1,1,1)-U46)/(DATE(YEAR(U46),12,31)-DATE(YEAR(U46),1,1)+1)+(V46-DATE(YEAR(V46),1,1))/(DATE(YEAR(V46),12,31)-DATE(YEAR(V46),1,1)+1)),2))</f>
        <v/>
      </c>
      <c r="X46" s="46" t="str">
        <f>IF(U46="","",ROUND(X45+W46+IF(V46&lt;'Навигатор накоплений'!F24,N('Навигатор накоплений'!G24),0),2))</f>
        <v/>
      </c>
      <c r="Z46" s="45" t="str">
        <f>IF('Навигатор накоплений'!A25="","",IF(40&lt;=DATEDIF('Навигатор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накоплений'!F25,1,0),AA45,""))</f>
        <v/>
      </c>
      <c r="AA46" s="45" t="str">
        <f>IF(Z46="","",MIN(EDATE('Навигатор накоплений'!E25,40),'Навигатор накоплений'!F25))</f>
        <v/>
      </c>
      <c r="AB46" s="46" t="str">
        <f>IF(Z46="","",ROUND(AC45*'Навигатор накоплений'!D25*IF(YEAR(Z46)=YEAR(AA46-1),(AA46-Z46)/(DATE(YEAR(Z46),12,31)-DATE(YEAR(Z46),1,1)+1),(DATE(YEAR(Z46)+1,1,1)-Z46)/(DATE(YEAR(Z46),12,31)-DATE(YEAR(Z46),1,1)+1)+(AA46-DATE(YEAR(AA46),1,1))/(DATE(YEAR(AA46),12,31)-DATE(YEAR(AA46),1,1)+1)),2))</f>
        <v/>
      </c>
      <c r="AC46" s="46" t="str">
        <f>IF(Z46="","",ROUND(AC45+AB46+IF(AA46&lt;'Навигатор накоплений'!F25,N('Навигатор накоплений'!G25),0),2))</f>
        <v/>
      </c>
      <c r="AE46" t="str">
        <f>IF('Навигатор накоплений'!A26="","",IF(40&lt;=DATEDIF('Навигатор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накоплений'!F26,1,0),AF45,""))</f>
        <v/>
      </c>
      <c r="AF46" t="str">
        <f>IF(AE46="","",MIN(EDATE('Навигатор накоплений'!E26,40),'Навигатор накоплений'!F26))</f>
        <v/>
      </c>
      <c r="AG46" t="str">
        <f>IF(AE46="","",ROUND(AH45*'Навигатор накоплений'!D26*IF(YEAR(AE46)=YEAR(AF46-1),(AF46-AE46)/(DATE(YEAR(AE46),12,31)-DATE(YEAR(AE46),1,1)+1),(DATE(YEAR(AE46)+1,1,1)-AE46)/(DATE(YEAR(AE46),12,31)-DATE(YEAR(AE46),1,1)+1)+(AF46-DATE(YEAR(AF46),1,1))/(DATE(YEAR(AF46),12,31)-DATE(YEAR(AF46),1,1)+1)),2))</f>
        <v/>
      </c>
      <c r="AH46" t="str">
        <f>IF(AE46="","",ROUND(AH45+AG46+IF(AF46&lt;'Навигатор накоплений'!F26,N('Навигатор накоплений'!G26),0),2))</f>
        <v/>
      </c>
      <c r="AJ46" t="str">
        <f>IF('Навигатор накоплений'!A27="","",IF(40&lt;=DATEDIF('Навигатор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накоплений'!F27,1,0),AK45,""))</f>
        <v/>
      </c>
      <c r="AK46" t="str">
        <f>IF(AJ46="","",MIN(EDATE('Навигатор накоплений'!E27,40),'Навигатор накоплений'!F27))</f>
        <v/>
      </c>
      <c r="AL46" t="str">
        <f>IF(AJ46="","",ROUND(AM45*'Навигатор накоплений'!D27*IF(YEAR(AJ46)=YEAR(AK46-1),(AK46-AJ46)/(DATE(YEAR(AJ46),12,31)-DATE(YEAR(AJ46),1,1)+1),(DATE(YEAR(AJ46)+1,1,1)-AJ46)/(DATE(YEAR(AJ46),12,31)-DATE(YEAR(AJ46),1,1)+1)+(AK46-DATE(YEAR(AK46),1,1))/(DATE(YEAR(AK46),12,31)-DATE(YEAR(AK46),1,1)+1)),2))</f>
        <v/>
      </c>
      <c r="AM46" t="str">
        <f>IF(AJ46="","",ROUND(AM45+AL46+IF(AK46&lt;'Навигатор накоплений'!F27,N('Навигатор накоплений'!G27),0),2))</f>
        <v/>
      </c>
      <c r="AO46" t="str">
        <f>IF('Навигатор накоплений'!A28="","",IF(40&lt;=DATEDIF('Навигатор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накоплений'!F28,1,0),AP45,""))</f>
        <v/>
      </c>
      <c r="AP46" t="str">
        <f>IF(AO46="","",MIN(EDATE('Навигатор накоплений'!E28,40),'Навигатор накоплений'!F28))</f>
        <v/>
      </c>
      <c r="AQ46" t="str">
        <f>IF(AO46="","",ROUND(AR45*'Навигатор накоплений'!D28*IF(YEAR(AO46)=YEAR(AP46-1),(AP46-AO46)/(DATE(YEAR(AO46),12,31)-DATE(YEAR(AO46),1,1)+1),(DATE(YEAR(AO46)+1,1,1)-AO46)/(DATE(YEAR(AO46),12,31)-DATE(YEAR(AO46),1,1)+1)+(AP46-DATE(YEAR(AP46),1,1))/(DATE(YEAR(AP46),12,31)-DATE(YEAR(AP46),1,1)+1)),2))</f>
        <v/>
      </c>
      <c r="AR46" t="str">
        <f>IF(AO46="","",ROUND(AR45+AQ46+IF(AP46&lt;'Навигатор накоплений'!F28,N('Навигатор накоплений'!G28),0),2))</f>
        <v/>
      </c>
      <c r="AT46">
        <f t="shared" si="20"/>
        <v>0</v>
      </c>
      <c r="AU46">
        <f t="shared" si="21"/>
        <v>0</v>
      </c>
      <c r="AV46">
        <f t="shared" si="22"/>
        <v>0</v>
      </c>
      <c r="AW46">
        <f t="shared" si="23"/>
        <v>0</v>
      </c>
      <c r="AX46">
        <f t="shared" si="24"/>
        <v>0</v>
      </c>
      <c r="AY46">
        <f t="shared" si="25"/>
        <v>0</v>
      </c>
      <c r="AZ46">
        <f t="shared" si="26"/>
        <v>0</v>
      </c>
      <c r="BA46"/>
      <c r="BB46"/>
      <c r="BD46"/>
      <c r="BE46"/>
      <c r="BF46"/>
      <c r="BG46"/>
    </row>
    <row r="47" spans="1:59" ht="15" x14ac:dyDescent="0.2">
      <c r="A47" s="43">
        <v>4</v>
      </c>
      <c r="B47" s="45" t="str">
        <f>IF('Навигатор накоплений'!A33="","",EDATE('Навигатор накоплений'!C33,A47-1))</f>
        <v/>
      </c>
      <c r="C47" s="45" t="str">
        <f>IF(B47="","",EDATE('Навигатор накоплений'!C33,A47))</f>
        <v/>
      </c>
      <c r="D47" s="46" t="str">
        <f t="shared" si="29"/>
        <v/>
      </c>
      <c r="E47" s="46" t="str">
        <f>IF(B47="","",N('Навигатор накоплений'!G33))</f>
        <v/>
      </c>
      <c r="F47" s="46" t="str">
        <f>IF(B47="","",IF('Навигатор накоплений'!F33="Ежедневный остаток",D47+E47,D47))</f>
        <v/>
      </c>
      <c r="G47" s="48" t="str">
        <f t="shared" si="27"/>
        <v/>
      </c>
      <c r="H47" s="46" t="str">
        <f>IF(B47="","",ROUND(F47*'Навигатор накоплений'!E33*IF(YEAR(B47)=YEAR(C47-1),(C47-B47)/(DATE(YEAR(B47),12,31)-DATE(YEAR(B47),1,1)+1),(DATE(YEAR(B47)+1,1,1)-B47)/(DATE(YEAR(B47),12,31)-DATE(YEAR(B47),1,1)+1)+(C47-DATE(YEAR(C47),1,1))/(DATE(YEAR(C47),12,31)-DATE(YEAR(C47),1,1)+1)),2))</f>
        <v/>
      </c>
      <c r="I47" s="46" t="str">
        <f t="shared" si="28"/>
        <v/>
      </c>
      <c r="K47" s="45" t="str">
        <f>IF('Навигатор накоплений'!A22="","",IF(41&lt;=DATEDIF('Навигатор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накоплений'!F22,1,0),L46,""))</f>
        <v/>
      </c>
      <c r="L47" s="45" t="str">
        <f>IF(K47="","",MIN(EDATE('Навигатор накоплений'!E22,41),'Навигатор накоплений'!F22))</f>
        <v/>
      </c>
      <c r="M47" s="46" t="str">
        <f>IF(K47="","",ROUND(N46*'Навигатор накоплений'!D22*IF(YEAR(K47)=YEAR(L47-1),(L47-K47)/(DATE(YEAR(K47),12,31)-DATE(YEAR(K47),1,1)+1),(DATE(YEAR(K47)+1,1,1)-K47)/(DATE(YEAR(K47),12,31)-DATE(YEAR(K47),1,1)+1)+(L47-DATE(YEAR(L47),1,1))/(DATE(YEAR(L47),12,31)-DATE(YEAR(L47),1,1)+1)),2))</f>
        <v/>
      </c>
      <c r="N47" s="46" t="str">
        <f>IF(K47="","",ROUND(N46+M47+IF(L47&lt;'Навигатор накоплений'!F22,N('Навигатор накоплений'!G22),0),2))</f>
        <v/>
      </c>
      <c r="P47" s="45" t="str">
        <f>IF('Навигатор накоплений'!A23="","",IF(41&lt;=DATEDIF('Навигатор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накоплений'!F23,1,0),Q46,""))</f>
        <v/>
      </c>
      <c r="Q47" s="45" t="str">
        <f>IF(P47="","",MIN(EDATE('Навигатор накоплений'!E23,41),'Навигатор накоплений'!F23))</f>
        <v/>
      </c>
      <c r="R47" s="46" t="str">
        <f>IF(P47="","",ROUND(S46*'Навигатор накоплений'!D23*IF(YEAR(P47)=YEAR(Q47-1),(Q47-P47)/(DATE(YEAR(P47),12,31)-DATE(YEAR(P47),1,1)+1),(DATE(YEAR(P47)+1,1,1)-P47)/(DATE(YEAR(P47),12,31)-DATE(YEAR(P47),1,1)+1)+(Q47-DATE(YEAR(Q47),1,1))/(DATE(YEAR(Q47),12,31)-DATE(YEAR(Q47),1,1)+1)),2))</f>
        <v/>
      </c>
      <c r="S47" s="46" t="str">
        <f>IF(P47="","",ROUND(S46+R47+IF(Q47&lt;'Навигатор накоплений'!F23,N('Навигатор накоплений'!G23),0),2))</f>
        <v/>
      </c>
      <c r="U47" s="45" t="str">
        <f>IF('Навигатор накоплений'!A24="","",IF(41&lt;=DATEDIF('Навигатор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накоплений'!F24,1,0),V46,""))</f>
        <v/>
      </c>
      <c r="V47" s="45" t="str">
        <f>IF(U47="","",MIN(EDATE('Навигатор накоплений'!E24,41),'Навигатор накоплений'!F24))</f>
        <v/>
      </c>
      <c r="W47" s="46" t="str">
        <f>IF(U47="","",ROUND(X46*'Навигатор накоплений'!D24*IF(YEAR(U47)=YEAR(V47-1),(V47-U47)/(DATE(YEAR(U47),12,31)-DATE(YEAR(U47),1,1)+1),(DATE(YEAR(U47)+1,1,1)-U47)/(DATE(YEAR(U47),12,31)-DATE(YEAR(U47),1,1)+1)+(V47-DATE(YEAR(V47),1,1))/(DATE(YEAR(V47),12,31)-DATE(YEAR(V47),1,1)+1)),2))</f>
        <v/>
      </c>
      <c r="X47" s="46" t="str">
        <f>IF(U47="","",ROUND(X46+W47+IF(V47&lt;'Навигатор накоплений'!F24,N('Навигатор накоплений'!G24),0),2))</f>
        <v/>
      </c>
      <c r="Z47" s="45" t="str">
        <f>IF('Навигатор накоплений'!A25="","",IF(41&lt;=DATEDIF('Навигатор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накоплений'!F25,1,0),AA46,""))</f>
        <v/>
      </c>
      <c r="AA47" s="45" t="str">
        <f>IF(Z47="","",MIN(EDATE('Навигатор накоплений'!E25,41),'Навигатор накоплений'!F25))</f>
        <v/>
      </c>
      <c r="AB47" s="46" t="str">
        <f>IF(Z47="","",ROUND(AC46*'Навигатор накоплений'!D25*IF(YEAR(Z47)=YEAR(AA47-1),(AA47-Z47)/(DATE(YEAR(Z47),12,31)-DATE(YEAR(Z47),1,1)+1),(DATE(YEAR(Z47)+1,1,1)-Z47)/(DATE(YEAR(Z47),12,31)-DATE(YEAR(Z47),1,1)+1)+(AA47-DATE(YEAR(AA47),1,1))/(DATE(YEAR(AA47),12,31)-DATE(YEAR(AA47),1,1)+1)),2))</f>
        <v/>
      </c>
      <c r="AC47" s="46" t="str">
        <f>IF(Z47="","",ROUND(AC46+AB47+IF(AA47&lt;'Навигатор накоплений'!F25,N('Навигатор накоплений'!G25),0),2))</f>
        <v/>
      </c>
      <c r="AE47" t="str">
        <f>IF('Навигатор накоплений'!A26="","",IF(41&lt;=DATEDIF('Навигатор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накоплений'!F26,1,0),AF46,""))</f>
        <v/>
      </c>
      <c r="AF47" t="str">
        <f>IF(AE47="","",MIN(EDATE('Навигатор накоплений'!E26,41),'Навигатор накоплений'!F26))</f>
        <v/>
      </c>
      <c r="AG47" t="str">
        <f>IF(AE47="","",ROUND(AH46*'Навигатор накоплений'!D26*IF(YEAR(AE47)=YEAR(AF47-1),(AF47-AE47)/(DATE(YEAR(AE47),12,31)-DATE(YEAR(AE47),1,1)+1),(DATE(YEAR(AE47)+1,1,1)-AE47)/(DATE(YEAR(AE47),12,31)-DATE(YEAR(AE47),1,1)+1)+(AF47-DATE(YEAR(AF47),1,1))/(DATE(YEAR(AF47),12,31)-DATE(YEAR(AF47),1,1)+1)),2))</f>
        <v/>
      </c>
      <c r="AH47" t="str">
        <f>IF(AE47="","",ROUND(AH46+AG47+IF(AF47&lt;'Навигатор накоплений'!F26,N('Навигатор накоплений'!G26),0),2))</f>
        <v/>
      </c>
      <c r="AJ47" t="str">
        <f>IF('Навигатор накоплений'!A27="","",IF(41&lt;=DATEDIF('Навигатор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накоплений'!F27,1,0),AK46,""))</f>
        <v/>
      </c>
      <c r="AK47" t="str">
        <f>IF(AJ47="","",MIN(EDATE('Навигатор накоплений'!E27,41),'Навигатор накоплений'!F27))</f>
        <v/>
      </c>
      <c r="AL47" t="str">
        <f>IF(AJ47="","",ROUND(AM46*'Навигатор накоплений'!D27*IF(YEAR(AJ47)=YEAR(AK47-1),(AK47-AJ47)/(DATE(YEAR(AJ47),12,31)-DATE(YEAR(AJ47),1,1)+1),(DATE(YEAR(AJ47)+1,1,1)-AJ47)/(DATE(YEAR(AJ47),12,31)-DATE(YEAR(AJ47),1,1)+1)+(AK47-DATE(YEAR(AK47),1,1))/(DATE(YEAR(AK47),12,31)-DATE(YEAR(AK47),1,1)+1)),2))</f>
        <v/>
      </c>
      <c r="AM47" t="str">
        <f>IF(AJ47="","",ROUND(AM46+AL47+IF(AK47&lt;'Навигатор накоплений'!F27,N('Навигатор накоплений'!G27),0),2))</f>
        <v/>
      </c>
      <c r="AO47" t="str">
        <f>IF('Навигатор накоплений'!A28="","",IF(41&lt;=DATEDIF('Навигатор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накоплений'!F28,1,0),AP46,""))</f>
        <v/>
      </c>
      <c r="AP47" t="str">
        <f>IF(AO47="","",MIN(EDATE('Навигатор накоплений'!E28,41),'Навигатор накоплений'!F28))</f>
        <v/>
      </c>
      <c r="AQ47" t="str">
        <f>IF(AO47="","",ROUND(AR46*'Навигатор накоплений'!D28*IF(YEAR(AO47)=YEAR(AP47-1),(AP47-AO47)/(DATE(YEAR(AO47),12,31)-DATE(YEAR(AO47),1,1)+1),(DATE(YEAR(AO47)+1,1,1)-AO47)/(DATE(YEAR(AO47),12,31)-DATE(YEAR(AO47),1,1)+1)+(AP47-DATE(YEAR(AP47),1,1))/(DATE(YEAR(AP47),12,31)-DATE(YEAR(AP47),1,1)+1)),2))</f>
        <v/>
      </c>
      <c r="AR47" t="str">
        <f>IF(AO47="","",ROUND(AR46+AQ47+IF(AP47&lt;'Навигатор накоплений'!F28,N('Навигатор накоплений'!G28),0),2))</f>
        <v/>
      </c>
      <c r="AT47">
        <f t="shared" si="20"/>
        <v>0</v>
      </c>
      <c r="AU47">
        <f t="shared" si="21"/>
        <v>0</v>
      </c>
      <c r="AV47">
        <f t="shared" si="22"/>
        <v>0</v>
      </c>
      <c r="AW47">
        <f t="shared" si="23"/>
        <v>0</v>
      </c>
      <c r="AX47">
        <f t="shared" si="24"/>
        <v>0</v>
      </c>
      <c r="AY47">
        <f t="shared" si="25"/>
        <v>0</v>
      </c>
      <c r="AZ47">
        <f t="shared" si="26"/>
        <v>0</v>
      </c>
      <c r="BA47"/>
      <c r="BB47"/>
      <c r="BD47"/>
      <c r="BE47"/>
      <c r="BF47"/>
      <c r="BG47"/>
    </row>
    <row r="48" spans="1:59" ht="15" x14ac:dyDescent="0.2">
      <c r="A48" s="43">
        <v>5</v>
      </c>
      <c r="B48" s="45" t="str">
        <f>IF('Навигатор накоплений'!A33="","",EDATE('Навигатор накоплений'!C33,A48-1))</f>
        <v/>
      </c>
      <c r="C48" s="45" t="str">
        <f>IF(B48="","",EDATE('Навигатор накоплений'!C33,A48))</f>
        <v/>
      </c>
      <c r="D48" s="46" t="str">
        <f t="shared" si="29"/>
        <v/>
      </c>
      <c r="E48" s="46" t="str">
        <f>IF(B48="","",N('Навигатор накоплений'!G33))</f>
        <v/>
      </c>
      <c r="F48" s="46" t="str">
        <f>IF(B48="","",IF('Навигатор накоплений'!F33="Ежедневный остаток",D48+E48,D48))</f>
        <v/>
      </c>
      <c r="G48" s="48" t="str">
        <f t="shared" si="27"/>
        <v/>
      </c>
      <c r="H48" s="46" t="str">
        <f>IF(B48="","",ROUND(F48*'Навигатор накоплений'!E33*IF(YEAR(B48)=YEAR(C48-1),(C48-B48)/(DATE(YEAR(B48),12,31)-DATE(YEAR(B48),1,1)+1),(DATE(YEAR(B48)+1,1,1)-B48)/(DATE(YEAR(B48),12,31)-DATE(YEAR(B48),1,1)+1)+(C48-DATE(YEAR(C48),1,1))/(DATE(YEAR(C48),12,31)-DATE(YEAR(C48),1,1)+1)),2))</f>
        <v/>
      </c>
      <c r="I48" s="46" t="str">
        <f t="shared" si="28"/>
        <v/>
      </c>
      <c r="K48" s="45" t="str">
        <f>IF('Навигатор накоплений'!A22="","",IF(42&lt;=DATEDIF('Навигатор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накоплений'!F22,1,0),L47,""))</f>
        <v/>
      </c>
      <c r="L48" s="45" t="str">
        <f>IF(K48="","",MIN(EDATE('Навигатор накоплений'!E22,42),'Навигатор накоплений'!F22))</f>
        <v/>
      </c>
      <c r="M48" s="46" t="str">
        <f>IF(K48="","",ROUND(N47*'Навигатор накоплений'!D22*IF(YEAR(K48)=YEAR(L48-1),(L48-K48)/(DATE(YEAR(K48),12,31)-DATE(YEAR(K48),1,1)+1),(DATE(YEAR(K48)+1,1,1)-K48)/(DATE(YEAR(K48),12,31)-DATE(YEAR(K48),1,1)+1)+(L48-DATE(YEAR(L48),1,1))/(DATE(YEAR(L48),12,31)-DATE(YEAR(L48),1,1)+1)),2))</f>
        <v/>
      </c>
      <c r="N48" s="46" t="str">
        <f>IF(K48="","",ROUND(N47+M48+IF(L48&lt;'Навигатор накоплений'!F22,N('Навигатор накоплений'!G22),0),2))</f>
        <v/>
      </c>
      <c r="P48" s="45" t="str">
        <f>IF('Навигатор накоплений'!A23="","",IF(42&lt;=DATEDIF('Навигатор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накоплений'!F23,1,0),Q47,""))</f>
        <v/>
      </c>
      <c r="Q48" s="45" t="str">
        <f>IF(P48="","",MIN(EDATE('Навигатор накоплений'!E23,42),'Навигатор накоплений'!F23))</f>
        <v/>
      </c>
      <c r="R48" s="46" t="str">
        <f>IF(P48="","",ROUND(S47*'Навигатор накоплений'!D23*IF(YEAR(P48)=YEAR(Q48-1),(Q48-P48)/(DATE(YEAR(P48),12,31)-DATE(YEAR(P48),1,1)+1),(DATE(YEAR(P48)+1,1,1)-P48)/(DATE(YEAR(P48),12,31)-DATE(YEAR(P48),1,1)+1)+(Q48-DATE(YEAR(Q48),1,1))/(DATE(YEAR(Q48),12,31)-DATE(YEAR(Q48),1,1)+1)),2))</f>
        <v/>
      </c>
      <c r="S48" s="46" t="str">
        <f>IF(P48="","",ROUND(S47+R48+IF(Q48&lt;'Навигатор накоплений'!F23,N('Навигатор накоплений'!G23),0),2))</f>
        <v/>
      </c>
      <c r="U48" s="45" t="str">
        <f>IF('Навигатор накоплений'!A24="","",IF(42&lt;=DATEDIF('Навигатор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накоплений'!F24,1,0),V47,""))</f>
        <v/>
      </c>
      <c r="V48" s="45" t="str">
        <f>IF(U48="","",MIN(EDATE('Навигатор накоплений'!E24,42),'Навигатор накоплений'!F24))</f>
        <v/>
      </c>
      <c r="W48" s="46" t="str">
        <f>IF(U48="","",ROUND(X47*'Навигатор накоплений'!D24*IF(YEAR(U48)=YEAR(V48-1),(V48-U48)/(DATE(YEAR(U48),12,31)-DATE(YEAR(U48),1,1)+1),(DATE(YEAR(U48)+1,1,1)-U48)/(DATE(YEAR(U48),12,31)-DATE(YEAR(U48),1,1)+1)+(V48-DATE(YEAR(V48),1,1))/(DATE(YEAR(V48),12,31)-DATE(YEAR(V48),1,1)+1)),2))</f>
        <v/>
      </c>
      <c r="X48" s="46" t="str">
        <f>IF(U48="","",ROUND(X47+W48+IF(V48&lt;'Навигатор накоплений'!F24,N('Навигатор накоплений'!G24),0),2))</f>
        <v/>
      </c>
      <c r="Z48" s="45" t="str">
        <f>IF('Навигатор накоплений'!A25="","",IF(42&lt;=DATEDIF('Навигатор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накоплений'!F25,1,0),AA47,""))</f>
        <v/>
      </c>
      <c r="AA48" s="45" t="str">
        <f>IF(Z48="","",MIN(EDATE('Навигатор накоплений'!E25,42),'Навигатор накоплений'!F25))</f>
        <v/>
      </c>
      <c r="AB48" s="46" t="str">
        <f>IF(Z48="","",ROUND(AC47*'Навигатор накоплений'!D25*IF(YEAR(Z48)=YEAR(AA48-1),(AA48-Z48)/(DATE(YEAR(Z48),12,31)-DATE(YEAR(Z48),1,1)+1),(DATE(YEAR(Z48)+1,1,1)-Z48)/(DATE(YEAR(Z48),12,31)-DATE(YEAR(Z48),1,1)+1)+(AA48-DATE(YEAR(AA48),1,1))/(DATE(YEAR(AA48),12,31)-DATE(YEAR(AA48),1,1)+1)),2))</f>
        <v/>
      </c>
      <c r="AC48" s="46" t="str">
        <f>IF(Z48="","",ROUND(AC47+AB48+IF(AA48&lt;'Навигатор накоплений'!F25,N('Навигатор накоплений'!G25),0),2))</f>
        <v/>
      </c>
      <c r="AE48" t="str">
        <f>IF('Навигатор накоплений'!A26="","",IF(42&lt;=DATEDIF('Навигатор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накоплений'!F26,1,0),AF47,""))</f>
        <v/>
      </c>
      <c r="AF48" t="str">
        <f>IF(AE48="","",MIN(EDATE('Навигатор накоплений'!E26,42),'Навигатор накоплений'!F26))</f>
        <v/>
      </c>
      <c r="AG48" t="str">
        <f>IF(AE48="","",ROUND(AH47*'Навигатор накоплений'!D26*IF(YEAR(AE48)=YEAR(AF48-1),(AF48-AE48)/(DATE(YEAR(AE48),12,31)-DATE(YEAR(AE48),1,1)+1),(DATE(YEAR(AE48)+1,1,1)-AE48)/(DATE(YEAR(AE48),12,31)-DATE(YEAR(AE48),1,1)+1)+(AF48-DATE(YEAR(AF48),1,1))/(DATE(YEAR(AF48),12,31)-DATE(YEAR(AF48),1,1)+1)),2))</f>
        <v/>
      </c>
      <c r="AH48" t="str">
        <f>IF(AE48="","",ROUND(AH47+AG48+IF(AF48&lt;'Навигатор накоплений'!F26,N('Навигатор накоплений'!G26),0),2))</f>
        <v/>
      </c>
      <c r="AJ48" t="str">
        <f>IF('Навигатор накоплений'!A27="","",IF(42&lt;=DATEDIF('Навигатор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накоплений'!F27,1,0),AK47,""))</f>
        <v/>
      </c>
      <c r="AK48" t="str">
        <f>IF(AJ48="","",MIN(EDATE('Навигатор накоплений'!E27,42),'Навигатор накоплений'!F27))</f>
        <v/>
      </c>
      <c r="AL48" t="str">
        <f>IF(AJ48="","",ROUND(AM47*'Навигатор накоплений'!D27*IF(YEAR(AJ48)=YEAR(AK48-1),(AK48-AJ48)/(DATE(YEAR(AJ48),12,31)-DATE(YEAR(AJ48),1,1)+1),(DATE(YEAR(AJ48)+1,1,1)-AJ48)/(DATE(YEAR(AJ48),12,31)-DATE(YEAR(AJ48),1,1)+1)+(AK48-DATE(YEAR(AK48),1,1))/(DATE(YEAR(AK48),12,31)-DATE(YEAR(AK48),1,1)+1)),2))</f>
        <v/>
      </c>
      <c r="AM48" t="str">
        <f>IF(AJ48="","",ROUND(AM47+AL48+IF(AK48&lt;'Навигатор накоплений'!F27,N('Навигатор накоплений'!G27),0),2))</f>
        <v/>
      </c>
      <c r="AO48" t="str">
        <f>IF('Навигатор накоплений'!A28="","",IF(42&lt;=DATEDIF('Навигатор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накоплений'!F28,1,0),AP47,""))</f>
        <v/>
      </c>
      <c r="AP48" t="str">
        <f>IF(AO48="","",MIN(EDATE('Навигатор накоплений'!E28,42),'Навигатор накоплений'!F28))</f>
        <v/>
      </c>
      <c r="AQ48" t="str">
        <f>IF(AO48="","",ROUND(AR47*'Навигатор накоплений'!D28*IF(YEAR(AO48)=YEAR(AP48-1),(AP48-AO48)/(DATE(YEAR(AO48),12,31)-DATE(YEAR(AO48),1,1)+1),(DATE(YEAR(AO48)+1,1,1)-AO48)/(DATE(YEAR(AO48),12,31)-DATE(YEAR(AO48),1,1)+1)+(AP48-DATE(YEAR(AP48),1,1))/(DATE(YEAR(AP48),12,31)-DATE(YEAR(AP48),1,1)+1)),2))</f>
        <v/>
      </c>
      <c r="AR48" t="str">
        <f>IF(AO48="","",ROUND(AR47+AQ48+IF(AP48&lt;'Навигатор накоплений'!F28,N('Навигатор накоплений'!G28),0),2))</f>
        <v/>
      </c>
      <c r="AT48">
        <f t="shared" si="20"/>
        <v>0</v>
      </c>
      <c r="AU48">
        <f t="shared" si="21"/>
        <v>0</v>
      </c>
      <c r="AV48">
        <f t="shared" si="22"/>
        <v>0</v>
      </c>
      <c r="AW48">
        <f t="shared" si="23"/>
        <v>0</v>
      </c>
      <c r="AX48">
        <f t="shared" si="24"/>
        <v>0</v>
      </c>
      <c r="AY48">
        <f t="shared" si="25"/>
        <v>0</v>
      </c>
      <c r="AZ48">
        <f t="shared" si="26"/>
        <v>0</v>
      </c>
      <c r="BA48"/>
      <c r="BB48"/>
      <c r="BD48"/>
      <c r="BE48"/>
      <c r="BF48"/>
      <c r="BG48"/>
    </row>
    <row r="49" spans="1:59" ht="15" x14ac:dyDescent="0.2">
      <c r="A49" s="43">
        <v>6</v>
      </c>
      <c r="B49" s="45" t="str">
        <f>IF('Навигатор накоплений'!A33="","",EDATE('Навигатор накоплений'!C33,A49-1))</f>
        <v/>
      </c>
      <c r="C49" s="45" t="str">
        <f>IF(B49="","",EDATE('Навигатор накоплений'!C33,A49))</f>
        <v/>
      </c>
      <c r="D49" s="46" t="str">
        <f t="shared" si="29"/>
        <v/>
      </c>
      <c r="E49" s="46" t="str">
        <f>IF(B49="","",N('Навигатор накоплений'!G33))</f>
        <v/>
      </c>
      <c r="F49" s="46" t="str">
        <f>IF(B49="","",IF('Навигатор накоплений'!F33="Ежедневный остаток",D49+E49,D49))</f>
        <v/>
      </c>
      <c r="G49" s="48" t="str">
        <f t="shared" si="27"/>
        <v/>
      </c>
      <c r="H49" s="46" t="str">
        <f>IF(B49="","",ROUND(F49*'Навигатор накоплений'!E33*IF(YEAR(B49)=YEAR(C49-1),(C49-B49)/(DATE(YEAR(B49),12,31)-DATE(YEAR(B49),1,1)+1),(DATE(YEAR(B49)+1,1,1)-B49)/(DATE(YEAR(B49),12,31)-DATE(YEAR(B49),1,1)+1)+(C49-DATE(YEAR(C49),1,1))/(DATE(YEAR(C49),12,31)-DATE(YEAR(C49),1,1)+1)),2))</f>
        <v/>
      </c>
      <c r="I49" s="46" t="str">
        <f t="shared" si="28"/>
        <v/>
      </c>
      <c r="K49" s="45" t="str">
        <f>IF('Навигатор накоплений'!A22="","",IF(43&lt;=DATEDIF('Навигатор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накоплений'!F22,1,0),L48,""))</f>
        <v/>
      </c>
      <c r="L49" s="45" t="str">
        <f>IF(K49="","",MIN(EDATE('Навигатор накоплений'!E22,43),'Навигатор накоплений'!F22))</f>
        <v/>
      </c>
      <c r="M49" s="46" t="str">
        <f>IF(K49="","",ROUND(N48*'Навигатор накоплений'!D22*IF(YEAR(K49)=YEAR(L49-1),(L49-K49)/(DATE(YEAR(K49),12,31)-DATE(YEAR(K49),1,1)+1),(DATE(YEAR(K49)+1,1,1)-K49)/(DATE(YEAR(K49),12,31)-DATE(YEAR(K49),1,1)+1)+(L49-DATE(YEAR(L49),1,1))/(DATE(YEAR(L49),12,31)-DATE(YEAR(L49),1,1)+1)),2))</f>
        <v/>
      </c>
      <c r="N49" s="46" t="str">
        <f>IF(K49="","",ROUND(N48+M49+IF(L49&lt;'Навигатор накоплений'!F22,N('Навигатор накоплений'!G22),0),2))</f>
        <v/>
      </c>
      <c r="P49" s="45" t="str">
        <f>IF('Навигатор накоплений'!A23="","",IF(43&lt;=DATEDIF('Навигатор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накоплений'!F23,1,0),Q48,""))</f>
        <v/>
      </c>
      <c r="Q49" s="45" t="str">
        <f>IF(P49="","",MIN(EDATE('Навигатор накоплений'!E23,43),'Навигатор накоплений'!F23))</f>
        <v/>
      </c>
      <c r="R49" s="46" t="str">
        <f>IF(P49="","",ROUND(S48*'Навигатор накоплений'!D23*IF(YEAR(P49)=YEAR(Q49-1),(Q49-P49)/(DATE(YEAR(P49),12,31)-DATE(YEAR(P49),1,1)+1),(DATE(YEAR(P49)+1,1,1)-P49)/(DATE(YEAR(P49),12,31)-DATE(YEAR(P49),1,1)+1)+(Q49-DATE(YEAR(Q49),1,1))/(DATE(YEAR(Q49),12,31)-DATE(YEAR(Q49),1,1)+1)),2))</f>
        <v/>
      </c>
      <c r="S49" s="46" t="str">
        <f>IF(P49="","",ROUND(S48+R49+IF(Q49&lt;'Навигатор накоплений'!F23,N('Навигатор накоплений'!G23),0),2))</f>
        <v/>
      </c>
      <c r="U49" s="45" t="str">
        <f>IF('Навигатор накоплений'!A24="","",IF(43&lt;=DATEDIF('Навигатор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накоплений'!F24,1,0),V48,""))</f>
        <v/>
      </c>
      <c r="V49" s="45" t="str">
        <f>IF(U49="","",MIN(EDATE('Навигатор накоплений'!E24,43),'Навигатор накоплений'!F24))</f>
        <v/>
      </c>
      <c r="W49" s="46" t="str">
        <f>IF(U49="","",ROUND(X48*'Навигатор накоплений'!D24*IF(YEAR(U49)=YEAR(V49-1),(V49-U49)/(DATE(YEAR(U49),12,31)-DATE(YEAR(U49),1,1)+1),(DATE(YEAR(U49)+1,1,1)-U49)/(DATE(YEAR(U49),12,31)-DATE(YEAR(U49),1,1)+1)+(V49-DATE(YEAR(V49),1,1))/(DATE(YEAR(V49),12,31)-DATE(YEAR(V49),1,1)+1)),2))</f>
        <v/>
      </c>
      <c r="X49" s="46" t="str">
        <f>IF(U49="","",ROUND(X48+W49+IF(V49&lt;'Навигатор накоплений'!F24,N('Навигатор накоплений'!G24),0),2))</f>
        <v/>
      </c>
      <c r="Z49" s="45" t="str">
        <f>IF('Навигатор накоплений'!A25="","",IF(43&lt;=DATEDIF('Навигатор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накоплений'!F25,1,0),AA48,""))</f>
        <v/>
      </c>
      <c r="AA49" s="45" t="str">
        <f>IF(Z49="","",MIN(EDATE('Навигатор накоплений'!E25,43),'Навигатор накоплений'!F25))</f>
        <v/>
      </c>
      <c r="AB49" s="46" t="str">
        <f>IF(Z49="","",ROUND(AC48*'Навигатор накоплений'!D25*IF(YEAR(Z49)=YEAR(AA49-1),(AA49-Z49)/(DATE(YEAR(Z49),12,31)-DATE(YEAR(Z49),1,1)+1),(DATE(YEAR(Z49)+1,1,1)-Z49)/(DATE(YEAR(Z49),12,31)-DATE(YEAR(Z49),1,1)+1)+(AA49-DATE(YEAR(AA49),1,1))/(DATE(YEAR(AA49),12,31)-DATE(YEAR(AA49),1,1)+1)),2))</f>
        <v/>
      </c>
      <c r="AC49" s="46" t="str">
        <f>IF(Z49="","",ROUND(AC48+AB49+IF(AA49&lt;'Навигатор накоплений'!F25,N('Навигатор накоплений'!G25),0),2))</f>
        <v/>
      </c>
      <c r="AE49" t="str">
        <f>IF('Навигатор накоплений'!A26="","",IF(43&lt;=DATEDIF('Навигатор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накоплений'!F26,1,0),AF48,""))</f>
        <v/>
      </c>
      <c r="AF49" t="str">
        <f>IF(AE49="","",MIN(EDATE('Навигатор накоплений'!E26,43),'Навигатор накоплений'!F26))</f>
        <v/>
      </c>
      <c r="AG49" t="str">
        <f>IF(AE49="","",ROUND(AH48*'Навигатор накоплений'!D26*IF(YEAR(AE49)=YEAR(AF49-1),(AF49-AE49)/(DATE(YEAR(AE49),12,31)-DATE(YEAR(AE49),1,1)+1),(DATE(YEAR(AE49)+1,1,1)-AE49)/(DATE(YEAR(AE49),12,31)-DATE(YEAR(AE49),1,1)+1)+(AF49-DATE(YEAR(AF49),1,1))/(DATE(YEAR(AF49),12,31)-DATE(YEAR(AF49),1,1)+1)),2))</f>
        <v/>
      </c>
      <c r="AH49" t="str">
        <f>IF(AE49="","",ROUND(AH48+AG49+IF(AF49&lt;'Навигатор накоплений'!F26,N('Навигатор накоплений'!G26),0),2))</f>
        <v/>
      </c>
      <c r="AJ49" t="str">
        <f>IF('Навигатор накоплений'!A27="","",IF(43&lt;=DATEDIF('Навигатор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накоплений'!F27,1,0),AK48,""))</f>
        <v/>
      </c>
      <c r="AK49" t="str">
        <f>IF(AJ49="","",MIN(EDATE('Навигатор накоплений'!E27,43),'Навигатор накоплений'!F27))</f>
        <v/>
      </c>
      <c r="AL49" t="str">
        <f>IF(AJ49="","",ROUND(AM48*'Навигатор накоплений'!D27*IF(YEAR(AJ49)=YEAR(AK49-1),(AK49-AJ49)/(DATE(YEAR(AJ49),12,31)-DATE(YEAR(AJ49),1,1)+1),(DATE(YEAR(AJ49)+1,1,1)-AJ49)/(DATE(YEAR(AJ49),12,31)-DATE(YEAR(AJ49),1,1)+1)+(AK49-DATE(YEAR(AK49),1,1))/(DATE(YEAR(AK49),12,31)-DATE(YEAR(AK49),1,1)+1)),2))</f>
        <v/>
      </c>
      <c r="AM49" t="str">
        <f>IF(AJ49="","",ROUND(AM48+AL49+IF(AK49&lt;'Навигатор накоплений'!F27,N('Навигатор накоплений'!G27),0),2))</f>
        <v/>
      </c>
      <c r="AO49" t="str">
        <f>IF('Навигатор накоплений'!A28="","",IF(43&lt;=DATEDIF('Навигатор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накоплений'!F28,1,0),AP48,""))</f>
        <v/>
      </c>
      <c r="AP49" t="str">
        <f>IF(AO49="","",MIN(EDATE('Навигатор накоплений'!E28,43),'Навигатор накоплений'!F28))</f>
        <v/>
      </c>
      <c r="AQ49" t="str">
        <f>IF(AO49="","",ROUND(AR48*'Навигатор накоплений'!D28*IF(YEAR(AO49)=YEAR(AP49-1),(AP49-AO49)/(DATE(YEAR(AO49),12,31)-DATE(YEAR(AO49),1,1)+1),(DATE(YEAR(AO49)+1,1,1)-AO49)/(DATE(YEAR(AO49),12,31)-DATE(YEAR(AO49),1,1)+1)+(AP49-DATE(YEAR(AP49),1,1))/(DATE(YEAR(AP49),12,31)-DATE(YEAR(AP49),1,1)+1)),2))</f>
        <v/>
      </c>
      <c r="AR49" t="str">
        <f>IF(AO49="","",ROUND(AR48+AQ49+IF(AP49&lt;'Навигатор накоплений'!F28,N('Навигатор накоплений'!G28),0),2))</f>
        <v/>
      </c>
      <c r="AT49">
        <f t="shared" si="20"/>
        <v>0</v>
      </c>
      <c r="AU49">
        <f t="shared" si="21"/>
        <v>0</v>
      </c>
      <c r="AV49">
        <f t="shared" si="22"/>
        <v>0</v>
      </c>
      <c r="AW49">
        <f t="shared" si="23"/>
        <v>0</v>
      </c>
      <c r="AX49">
        <f t="shared" si="24"/>
        <v>0</v>
      </c>
      <c r="AY49">
        <f t="shared" si="25"/>
        <v>0</v>
      </c>
      <c r="AZ49">
        <f t="shared" si="26"/>
        <v>0</v>
      </c>
      <c r="BA49"/>
      <c r="BB49"/>
      <c r="BD49"/>
      <c r="BE49"/>
      <c r="BF49"/>
      <c r="BG49"/>
    </row>
    <row r="50" spans="1:59" ht="15" x14ac:dyDescent="0.2">
      <c r="A50" s="43">
        <v>7</v>
      </c>
      <c r="B50" s="45" t="str">
        <f>IF('Навигатор накоплений'!A33="","",EDATE('Навигатор накоплений'!C33,A50-1))</f>
        <v/>
      </c>
      <c r="C50" s="45" t="str">
        <f>IF(B50="","",EDATE('Навигатор накоплений'!C33,A50))</f>
        <v/>
      </c>
      <c r="D50" s="46" t="str">
        <f t="shared" si="29"/>
        <v/>
      </c>
      <c r="E50" s="46" t="str">
        <f>IF(B50="","",N('Навигатор накоплений'!G33))</f>
        <v/>
      </c>
      <c r="F50" s="46" t="str">
        <f>IF(B50="","",IF('Навигатор накоплений'!F33="Ежедневный остаток",D50+E50,D50))</f>
        <v/>
      </c>
      <c r="G50" s="48" t="str">
        <f t="shared" si="27"/>
        <v/>
      </c>
      <c r="H50" s="46" t="str">
        <f>IF(B50="","",ROUND(F50*'Навигатор накоплений'!E33*IF(YEAR(B50)=YEAR(C50-1),(C50-B50)/(DATE(YEAR(B50),12,31)-DATE(YEAR(B50),1,1)+1),(DATE(YEAR(B50)+1,1,1)-B50)/(DATE(YEAR(B50),12,31)-DATE(YEAR(B50),1,1)+1)+(C50-DATE(YEAR(C50),1,1))/(DATE(YEAR(C50),12,31)-DATE(YEAR(C50),1,1)+1)),2))</f>
        <v/>
      </c>
      <c r="I50" s="46" t="str">
        <f t="shared" si="28"/>
        <v/>
      </c>
      <c r="K50" s="45" t="str">
        <f>IF('Навигатор накоплений'!A22="","",IF(44&lt;=DATEDIF('Навигатор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накоплений'!F22,1,0),L49,""))</f>
        <v/>
      </c>
      <c r="L50" s="45" t="str">
        <f>IF(K50="","",MIN(EDATE('Навигатор накоплений'!E22,44),'Навигатор накоплений'!F22))</f>
        <v/>
      </c>
      <c r="M50" s="46" t="str">
        <f>IF(K50="","",ROUND(N49*'Навигатор накоплений'!D22*IF(YEAR(K50)=YEAR(L50-1),(L50-K50)/(DATE(YEAR(K50),12,31)-DATE(YEAR(K50),1,1)+1),(DATE(YEAR(K50)+1,1,1)-K50)/(DATE(YEAR(K50),12,31)-DATE(YEAR(K50),1,1)+1)+(L50-DATE(YEAR(L50),1,1))/(DATE(YEAR(L50),12,31)-DATE(YEAR(L50),1,1)+1)),2))</f>
        <v/>
      </c>
      <c r="N50" s="46" t="str">
        <f>IF(K50="","",ROUND(N49+M50+IF(L50&lt;'Навигатор накоплений'!F22,N('Навигатор накоплений'!G22),0),2))</f>
        <v/>
      </c>
      <c r="P50" s="45" t="str">
        <f>IF('Навигатор накоплений'!A23="","",IF(44&lt;=DATEDIF('Навигатор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накоплений'!F23,1,0),Q49,""))</f>
        <v/>
      </c>
      <c r="Q50" s="45" t="str">
        <f>IF(P50="","",MIN(EDATE('Навигатор накоплений'!E23,44),'Навигатор накоплений'!F23))</f>
        <v/>
      </c>
      <c r="R50" s="46" t="str">
        <f>IF(P50="","",ROUND(S49*'Навигатор накоплений'!D23*IF(YEAR(P50)=YEAR(Q50-1),(Q50-P50)/(DATE(YEAR(P50),12,31)-DATE(YEAR(P50),1,1)+1),(DATE(YEAR(P50)+1,1,1)-P50)/(DATE(YEAR(P50),12,31)-DATE(YEAR(P50),1,1)+1)+(Q50-DATE(YEAR(Q50),1,1))/(DATE(YEAR(Q50),12,31)-DATE(YEAR(Q50),1,1)+1)),2))</f>
        <v/>
      </c>
      <c r="S50" s="46" t="str">
        <f>IF(P50="","",ROUND(S49+R50+IF(Q50&lt;'Навигатор накоплений'!F23,N('Навигатор накоплений'!G23),0),2))</f>
        <v/>
      </c>
      <c r="U50" s="45" t="str">
        <f>IF('Навигатор накоплений'!A24="","",IF(44&lt;=DATEDIF('Навигатор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накоплений'!F24,1,0),V49,""))</f>
        <v/>
      </c>
      <c r="V50" s="45" t="str">
        <f>IF(U50="","",MIN(EDATE('Навигатор накоплений'!E24,44),'Навигатор накоплений'!F24))</f>
        <v/>
      </c>
      <c r="W50" s="46" t="str">
        <f>IF(U50="","",ROUND(X49*'Навигатор накоплений'!D24*IF(YEAR(U50)=YEAR(V50-1),(V50-U50)/(DATE(YEAR(U50),12,31)-DATE(YEAR(U50),1,1)+1),(DATE(YEAR(U50)+1,1,1)-U50)/(DATE(YEAR(U50),12,31)-DATE(YEAR(U50),1,1)+1)+(V50-DATE(YEAR(V50),1,1))/(DATE(YEAR(V50),12,31)-DATE(YEAR(V50),1,1)+1)),2))</f>
        <v/>
      </c>
      <c r="X50" s="46" t="str">
        <f>IF(U50="","",ROUND(X49+W50+IF(V50&lt;'Навигатор накоплений'!F24,N('Навигатор накоплений'!G24),0),2))</f>
        <v/>
      </c>
      <c r="Z50" s="45" t="str">
        <f>IF('Навигатор накоплений'!A25="","",IF(44&lt;=DATEDIF('Навигатор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накоплений'!F25,1,0),AA49,""))</f>
        <v/>
      </c>
      <c r="AA50" s="45" t="str">
        <f>IF(Z50="","",MIN(EDATE('Навигатор накоплений'!E25,44),'Навигатор накоплений'!F25))</f>
        <v/>
      </c>
      <c r="AB50" s="46" t="str">
        <f>IF(Z50="","",ROUND(AC49*'Навигатор накоплений'!D25*IF(YEAR(Z50)=YEAR(AA50-1),(AA50-Z50)/(DATE(YEAR(Z50),12,31)-DATE(YEAR(Z50),1,1)+1),(DATE(YEAR(Z50)+1,1,1)-Z50)/(DATE(YEAR(Z50),12,31)-DATE(YEAR(Z50),1,1)+1)+(AA50-DATE(YEAR(AA50),1,1))/(DATE(YEAR(AA50),12,31)-DATE(YEAR(AA50),1,1)+1)),2))</f>
        <v/>
      </c>
      <c r="AC50" s="46" t="str">
        <f>IF(Z50="","",ROUND(AC49+AB50+IF(AA50&lt;'Навигатор накоплений'!F25,N('Навигатор накоплений'!G25),0),2))</f>
        <v/>
      </c>
      <c r="AE50" t="str">
        <f>IF('Навигатор накоплений'!A26="","",IF(44&lt;=DATEDIF('Навигатор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накоплений'!F26,1,0),AF49,""))</f>
        <v/>
      </c>
      <c r="AF50" t="str">
        <f>IF(AE50="","",MIN(EDATE('Навигатор накоплений'!E26,44),'Навигатор накоплений'!F26))</f>
        <v/>
      </c>
      <c r="AG50" t="str">
        <f>IF(AE50="","",ROUND(AH49*'Навигатор накоплений'!D26*IF(YEAR(AE50)=YEAR(AF50-1),(AF50-AE50)/(DATE(YEAR(AE50),12,31)-DATE(YEAR(AE50),1,1)+1),(DATE(YEAR(AE50)+1,1,1)-AE50)/(DATE(YEAR(AE50),12,31)-DATE(YEAR(AE50),1,1)+1)+(AF50-DATE(YEAR(AF50),1,1))/(DATE(YEAR(AF50),12,31)-DATE(YEAR(AF50),1,1)+1)),2))</f>
        <v/>
      </c>
      <c r="AH50" t="str">
        <f>IF(AE50="","",ROUND(AH49+AG50+IF(AF50&lt;'Навигатор накоплений'!F26,N('Навигатор накоплений'!G26),0),2))</f>
        <v/>
      </c>
      <c r="AJ50" t="str">
        <f>IF('Навигатор накоплений'!A27="","",IF(44&lt;=DATEDIF('Навигатор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накоплений'!F27,1,0),AK49,""))</f>
        <v/>
      </c>
      <c r="AK50" t="str">
        <f>IF(AJ50="","",MIN(EDATE('Навигатор накоплений'!E27,44),'Навигатор накоплений'!F27))</f>
        <v/>
      </c>
      <c r="AL50" t="str">
        <f>IF(AJ50="","",ROUND(AM49*'Навигатор накоплений'!D27*IF(YEAR(AJ50)=YEAR(AK50-1),(AK50-AJ50)/(DATE(YEAR(AJ50),12,31)-DATE(YEAR(AJ50),1,1)+1),(DATE(YEAR(AJ50)+1,1,1)-AJ50)/(DATE(YEAR(AJ50),12,31)-DATE(YEAR(AJ50),1,1)+1)+(AK50-DATE(YEAR(AK50),1,1))/(DATE(YEAR(AK50),12,31)-DATE(YEAR(AK50),1,1)+1)),2))</f>
        <v/>
      </c>
      <c r="AM50" t="str">
        <f>IF(AJ50="","",ROUND(AM49+AL50+IF(AK50&lt;'Навигатор накоплений'!F27,N('Навигатор накоплений'!G27),0),2))</f>
        <v/>
      </c>
      <c r="AO50" t="str">
        <f>IF('Навигатор накоплений'!A28="","",IF(44&lt;=DATEDIF('Навигатор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накоплений'!F28,1,0),AP49,""))</f>
        <v/>
      </c>
      <c r="AP50" t="str">
        <f>IF(AO50="","",MIN(EDATE('Навигатор накоплений'!E28,44),'Навигатор накоплений'!F28))</f>
        <v/>
      </c>
      <c r="AQ50" t="str">
        <f>IF(AO50="","",ROUND(AR49*'Навигатор накоплений'!D28*IF(YEAR(AO50)=YEAR(AP50-1),(AP50-AO50)/(DATE(YEAR(AO50),12,31)-DATE(YEAR(AO50),1,1)+1),(DATE(YEAR(AO50)+1,1,1)-AO50)/(DATE(YEAR(AO50),12,31)-DATE(YEAR(AO50),1,1)+1)+(AP50-DATE(YEAR(AP50),1,1))/(DATE(YEAR(AP50),12,31)-DATE(YEAR(AP50),1,1)+1)),2))</f>
        <v/>
      </c>
      <c r="AR50" t="str">
        <f>IF(AO50="","",ROUND(AR49+AQ50+IF(AP50&lt;'Навигатор накоплений'!F28,N('Навигатор накоплений'!G28),0),2))</f>
        <v/>
      </c>
      <c r="AT50">
        <f t="shared" si="20"/>
        <v>0</v>
      </c>
      <c r="AU50">
        <f t="shared" si="21"/>
        <v>0</v>
      </c>
      <c r="AV50">
        <f t="shared" si="22"/>
        <v>0</v>
      </c>
      <c r="AW50">
        <f t="shared" si="23"/>
        <v>0</v>
      </c>
      <c r="AX50">
        <f t="shared" si="24"/>
        <v>0</v>
      </c>
      <c r="AY50">
        <f t="shared" si="25"/>
        <v>0</v>
      </c>
      <c r="AZ50">
        <f t="shared" si="26"/>
        <v>0</v>
      </c>
      <c r="BA50"/>
      <c r="BB50"/>
      <c r="BD50"/>
      <c r="BE50"/>
      <c r="BF50"/>
      <c r="BG50"/>
    </row>
    <row r="51" spans="1:59" ht="15" x14ac:dyDescent="0.2">
      <c r="A51" s="43">
        <v>8</v>
      </c>
      <c r="B51" s="45" t="str">
        <f>IF('Навигатор накоплений'!A33="","",EDATE('Навигатор накоплений'!C33,A51-1))</f>
        <v/>
      </c>
      <c r="C51" s="45" t="str">
        <f>IF(B51="","",EDATE('Навигатор накоплений'!C33,A51))</f>
        <v/>
      </c>
      <c r="D51" s="46" t="str">
        <f t="shared" si="29"/>
        <v/>
      </c>
      <c r="E51" s="46" t="str">
        <f>IF(B51="","",N('Навигатор накоплений'!G33))</f>
        <v/>
      </c>
      <c r="F51" s="46" t="str">
        <f>IF(B51="","",IF('Навигатор накоплений'!F33="Ежедневный остаток",D51+E51,D51))</f>
        <v/>
      </c>
      <c r="G51" s="48" t="str">
        <f t="shared" si="27"/>
        <v/>
      </c>
      <c r="H51" s="46" t="str">
        <f>IF(B51="","",ROUND(F51*'Навигатор накоплений'!E33*IF(YEAR(B51)=YEAR(C51-1),(C51-B51)/(DATE(YEAR(B51),12,31)-DATE(YEAR(B51),1,1)+1),(DATE(YEAR(B51)+1,1,1)-B51)/(DATE(YEAR(B51),12,31)-DATE(YEAR(B51),1,1)+1)+(C51-DATE(YEAR(C51),1,1))/(DATE(YEAR(C51),12,31)-DATE(YEAR(C51),1,1)+1)),2))</f>
        <v/>
      </c>
      <c r="I51" s="46" t="str">
        <f t="shared" si="28"/>
        <v/>
      </c>
      <c r="K51" s="45" t="str">
        <f>IF('Навигатор накоплений'!A22="","",IF(45&lt;=DATEDIF('Навигатор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накоплений'!F22,1,0),L50,""))</f>
        <v/>
      </c>
      <c r="L51" s="45" t="str">
        <f>IF(K51="","",MIN(EDATE('Навигатор накоплений'!E22,45),'Навигатор накоплений'!F22))</f>
        <v/>
      </c>
      <c r="M51" s="46" t="str">
        <f>IF(K51="","",ROUND(N50*'Навигатор накоплений'!D22*IF(YEAR(K51)=YEAR(L51-1),(L51-K51)/(DATE(YEAR(K51),12,31)-DATE(YEAR(K51),1,1)+1),(DATE(YEAR(K51)+1,1,1)-K51)/(DATE(YEAR(K51),12,31)-DATE(YEAR(K51),1,1)+1)+(L51-DATE(YEAR(L51),1,1))/(DATE(YEAR(L51),12,31)-DATE(YEAR(L51),1,1)+1)),2))</f>
        <v/>
      </c>
      <c r="N51" s="46" t="str">
        <f>IF(K51="","",ROUND(N50+M51+IF(L51&lt;'Навигатор накоплений'!F22,N('Навигатор накоплений'!G22),0),2))</f>
        <v/>
      </c>
      <c r="P51" s="45" t="str">
        <f>IF('Навигатор накоплений'!A23="","",IF(45&lt;=DATEDIF('Навигатор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накоплений'!F23,1,0),Q50,""))</f>
        <v/>
      </c>
      <c r="Q51" s="45" t="str">
        <f>IF(P51="","",MIN(EDATE('Навигатор накоплений'!E23,45),'Навигатор накоплений'!F23))</f>
        <v/>
      </c>
      <c r="R51" s="46" t="str">
        <f>IF(P51="","",ROUND(S50*'Навигатор накоплений'!D23*IF(YEAR(P51)=YEAR(Q51-1),(Q51-P51)/(DATE(YEAR(P51),12,31)-DATE(YEAR(P51),1,1)+1),(DATE(YEAR(P51)+1,1,1)-P51)/(DATE(YEAR(P51),12,31)-DATE(YEAR(P51),1,1)+1)+(Q51-DATE(YEAR(Q51),1,1))/(DATE(YEAR(Q51),12,31)-DATE(YEAR(Q51),1,1)+1)),2))</f>
        <v/>
      </c>
      <c r="S51" s="46" t="str">
        <f>IF(P51="","",ROUND(S50+R51+IF(Q51&lt;'Навигатор накоплений'!F23,N('Навигатор накоплений'!G23),0),2))</f>
        <v/>
      </c>
      <c r="U51" s="45" t="str">
        <f>IF('Навигатор накоплений'!A24="","",IF(45&lt;=DATEDIF('Навигатор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накоплений'!F24,1,0),V50,""))</f>
        <v/>
      </c>
      <c r="V51" s="45" t="str">
        <f>IF(U51="","",MIN(EDATE('Навигатор накоплений'!E24,45),'Навигатор накоплений'!F24))</f>
        <v/>
      </c>
      <c r="W51" s="46" t="str">
        <f>IF(U51="","",ROUND(X50*'Навигатор накоплений'!D24*IF(YEAR(U51)=YEAR(V51-1),(V51-U51)/(DATE(YEAR(U51),12,31)-DATE(YEAR(U51),1,1)+1),(DATE(YEAR(U51)+1,1,1)-U51)/(DATE(YEAR(U51),12,31)-DATE(YEAR(U51),1,1)+1)+(V51-DATE(YEAR(V51),1,1))/(DATE(YEAR(V51),12,31)-DATE(YEAR(V51),1,1)+1)),2))</f>
        <v/>
      </c>
      <c r="X51" s="46" t="str">
        <f>IF(U51="","",ROUND(X50+W51+IF(V51&lt;'Навигатор накоплений'!F24,N('Навигатор накоплений'!G24),0),2))</f>
        <v/>
      </c>
      <c r="Z51" s="45" t="str">
        <f>IF('Навигатор накоплений'!A25="","",IF(45&lt;=DATEDIF('Навигатор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накоплений'!F25,1,0),AA50,""))</f>
        <v/>
      </c>
      <c r="AA51" s="45" t="str">
        <f>IF(Z51="","",MIN(EDATE('Навигатор накоплений'!E25,45),'Навигатор накоплений'!F25))</f>
        <v/>
      </c>
      <c r="AB51" s="46" t="str">
        <f>IF(Z51="","",ROUND(AC50*'Навигатор накоплений'!D25*IF(YEAR(Z51)=YEAR(AA51-1),(AA51-Z51)/(DATE(YEAR(Z51),12,31)-DATE(YEAR(Z51),1,1)+1),(DATE(YEAR(Z51)+1,1,1)-Z51)/(DATE(YEAR(Z51),12,31)-DATE(YEAR(Z51),1,1)+1)+(AA51-DATE(YEAR(AA51),1,1))/(DATE(YEAR(AA51),12,31)-DATE(YEAR(AA51),1,1)+1)),2))</f>
        <v/>
      </c>
      <c r="AC51" s="46" t="str">
        <f>IF(Z51="","",ROUND(AC50+AB51+IF(AA51&lt;'Навигатор накоплений'!F25,N('Навигатор накоплений'!G25),0),2))</f>
        <v/>
      </c>
      <c r="AE51" t="str">
        <f>IF('Навигатор накоплений'!A26="","",IF(45&lt;=DATEDIF('Навигатор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накоплений'!F26,1,0),AF50,""))</f>
        <v/>
      </c>
      <c r="AF51" t="str">
        <f>IF(AE51="","",MIN(EDATE('Навигатор накоплений'!E26,45),'Навигатор накоплений'!F26))</f>
        <v/>
      </c>
      <c r="AG51" t="str">
        <f>IF(AE51="","",ROUND(AH50*'Навигатор накоплений'!D26*IF(YEAR(AE51)=YEAR(AF51-1),(AF51-AE51)/(DATE(YEAR(AE51),12,31)-DATE(YEAR(AE51),1,1)+1),(DATE(YEAR(AE51)+1,1,1)-AE51)/(DATE(YEAR(AE51),12,31)-DATE(YEAR(AE51),1,1)+1)+(AF51-DATE(YEAR(AF51),1,1))/(DATE(YEAR(AF51),12,31)-DATE(YEAR(AF51),1,1)+1)),2))</f>
        <v/>
      </c>
      <c r="AH51" t="str">
        <f>IF(AE51="","",ROUND(AH50+AG51+IF(AF51&lt;'Навигатор накоплений'!F26,N('Навигатор накоплений'!G26),0),2))</f>
        <v/>
      </c>
      <c r="AJ51" t="str">
        <f>IF('Навигатор накоплений'!A27="","",IF(45&lt;=DATEDIF('Навигатор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накоплений'!F27,1,0),AK50,""))</f>
        <v/>
      </c>
      <c r="AK51" t="str">
        <f>IF(AJ51="","",MIN(EDATE('Навигатор накоплений'!E27,45),'Навигатор накоплений'!F27))</f>
        <v/>
      </c>
      <c r="AL51" t="str">
        <f>IF(AJ51="","",ROUND(AM50*'Навигатор накоплений'!D27*IF(YEAR(AJ51)=YEAR(AK51-1),(AK51-AJ51)/(DATE(YEAR(AJ51),12,31)-DATE(YEAR(AJ51),1,1)+1),(DATE(YEAR(AJ51)+1,1,1)-AJ51)/(DATE(YEAR(AJ51),12,31)-DATE(YEAR(AJ51),1,1)+1)+(AK51-DATE(YEAR(AK51),1,1))/(DATE(YEAR(AK51),12,31)-DATE(YEAR(AK51),1,1)+1)),2))</f>
        <v/>
      </c>
      <c r="AM51" t="str">
        <f>IF(AJ51="","",ROUND(AM50+AL51+IF(AK51&lt;'Навигатор накоплений'!F27,N('Навигатор накоплений'!G27),0),2))</f>
        <v/>
      </c>
      <c r="AO51" t="str">
        <f>IF('Навигатор накоплений'!A28="","",IF(45&lt;=DATEDIF('Навигатор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накоплений'!F28,1,0),AP50,""))</f>
        <v/>
      </c>
      <c r="AP51" t="str">
        <f>IF(AO51="","",MIN(EDATE('Навигатор накоплений'!E28,45),'Навигатор накоплений'!F28))</f>
        <v/>
      </c>
      <c r="AQ51" t="str">
        <f>IF(AO51="","",ROUND(AR50*'Навигатор накоплений'!D28*IF(YEAR(AO51)=YEAR(AP51-1),(AP51-AO51)/(DATE(YEAR(AO51),12,31)-DATE(YEAR(AO51),1,1)+1),(DATE(YEAR(AO51)+1,1,1)-AO51)/(DATE(YEAR(AO51),12,31)-DATE(YEAR(AO51),1,1)+1)+(AP51-DATE(YEAR(AP51),1,1))/(DATE(YEAR(AP51),12,31)-DATE(YEAR(AP51),1,1)+1)),2))</f>
        <v/>
      </c>
      <c r="AR51" t="str">
        <f>IF(AO51="","",ROUND(AR50+AQ51+IF(AP51&lt;'Навигатор накоплений'!F28,N('Навигатор накоплений'!G28),0),2))</f>
        <v/>
      </c>
      <c r="AT51">
        <f t="shared" si="20"/>
        <v>0</v>
      </c>
      <c r="AU51">
        <f t="shared" si="21"/>
        <v>0</v>
      </c>
      <c r="AV51">
        <f t="shared" si="22"/>
        <v>0</v>
      </c>
      <c r="AW51">
        <f t="shared" si="23"/>
        <v>0</v>
      </c>
      <c r="AX51">
        <f t="shared" si="24"/>
        <v>0</v>
      </c>
      <c r="AY51">
        <f t="shared" si="25"/>
        <v>0</v>
      </c>
      <c r="AZ51">
        <f t="shared" si="26"/>
        <v>0</v>
      </c>
      <c r="BA51"/>
      <c r="BB51"/>
      <c r="BD51"/>
      <c r="BE51"/>
      <c r="BF51"/>
      <c r="BG51"/>
    </row>
    <row r="52" spans="1:59" ht="15" x14ac:dyDescent="0.2">
      <c r="A52" s="43">
        <v>9</v>
      </c>
      <c r="B52" s="45" t="str">
        <f>IF('Навигатор накоплений'!A33="","",EDATE('Навигатор накоплений'!C33,A52-1))</f>
        <v/>
      </c>
      <c r="C52" s="45" t="str">
        <f>IF(B52="","",EDATE('Навигатор накоплений'!C33,A52))</f>
        <v/>
      </c>
      <c r="D52" s="46" t="str">
        <f t="shared" si="29"/>
        <v/>
      </c>
      <c r="E52" s="46" t="str">
        <f>IF(B52="","",N('Навигатор накоплений'!G33))</f>
        <v/>
      </c>
      <c r="F52" s="46" t="str">
        <f>IF(B52="","",IF('Навигатор накоплений'!F33="Ежедневный остаток",D52+E52,D52))</f>
        <v/>
      </c>
      <c r="G52" s="48" t="str">
        <f t="shared" si="27"/>
        <v/>
      </c>
      <c r="H52" s="46" t="str">
        <f>IF(B52="","",ROUND(F52*'Навигатор накоплений'!E33*IF(YEAR(B52)=YEAR(C52-1),(C52-B52)/(DATE(YEAR(B52),12,31)-DATE(YEAR(B52),1,1)+1),(DATE(YEAR(B52)+1,1,1)-B52)/(DATE(YEAR(B52),12,31)-DATE(YEAR(B52),1,1)+1)+(C52-DATE(YEAR(C52),1,1))/(DATE(YEAR(C52),12,31)-DATE(YEAR(C52),1,1)+1)),2))</f>
        <v/>
      </c>
      <c r="I52" s="46" t="str">
        <f t="shared" si="28"/>
        <v/>
      </c>
      <c r="K52" s="45" t="str">
        <f>IF('Навигатор накоплений'!A22="","",IF(46&lt;=DATEDIF('Навигатор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накоплений'!F22,1,0),L51,""))</f>
        <v/>
      </c>
      <c r="L52" s="45" t="str">
        <f>IF(K52="","",MIN(EDATE('Навигатор накоплений'!E22,46),'Навигатор накоплений'!F22))</f>
        <v/>
      </c>
      <c r="M52" s="46" t="str">
        <f>IF(K52="","",ROUND(N51*'Навигатор накоплений'!D22*IF(YEAR(K52)=YEAR(L52-1),(L52-K52)/(DATE(YEAR(K52),12,31)-DATE(YEAR(K52),1,1)+1),(DATE(YEAR(K52)+1,1,1)-K52)/(DATE(YEAR(K52),12,31)-DATE(YEAR(K52),1,1)+1)+(L52-DATE(YEAR(L52),1,1))/(DATE(YEAR(L52),12,31)-DATE(YEAR(L52),1,1)+1)),2))</f>
        <v/>
      </c>
      <c r="N52" s="46" t="str">
        <f>IF(K52="","",ROUND(N51+M52+IF(L52&lt;'Навигатор накоплений'!F22,N('Навигатор накоплений'!G22),0),2))</f>
        <v/>
      </c>
      <c r="P52" s="45" t="str">
        <f>IF('Навигатор накоплений'!A23="","",IF(46&lt;=DATEDIF('Навигатор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накоплений'!F23,1,0),Q51,""))</f>
        <v/>
      </c>
      <c r="Q52" s="45" t="str">
        <f>IF(P52="","",MIN(EDATE('Навигатор накоплений'!E23,46),'Навигатор накоплений'!F23))</f>
        <v/>
      </c>
      <c r="R52" s="46" t="str">
        <f>IF(P52="","",ROUND(S51*'Навигатор накоплений'!D23*IF(YEAR(P52)=YEAR(Q52-1),(Q52-P52)/(DATE(YEAR(P52),12,31)-DATE(YEAR(P52),1,1)+1),(DATE(YEAR(P52)+1,1,1)-P52)/(DATE(YEAR(P52),12,31)-DATE(YEAR(P52),1,1)+1)+(Q52-DATE(YEAR(Q52),1,1))/(DATE(YEAR(Q52),12,31)-DATE(YEAR(Q52),1,1)+1)),2))</f>
        <v/>
      </c>
      <c r="S52" s="46" t="str">
        <f>IF(P52="","",ROUND(S51+R52+IF(Q52&lt;'Навигатор накоплений'!F23,N('Навигатор накоплений'!G23),0),2))</f>
        <v/>
      </c>
      <c r="U52" s="45" t="str">
        <f>IF('Навигатор накоплений'!A24="","",IF(46&lt;=DATEDIF('Навигатор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накоплений'!F24,1,0),V51,""))</f>
        <v/>
      </c>
      <c r="V52" s="45" t="str">
        <f>IF(U52="","",MIN(EDATE('Навигатор накоплений'!E24,46),'Навигатор накоплений'!F24))</f>
        <v/>
      </c>
      <c r="W52" s="46" t="str">
        <f>IF(U52="","",ROUND(X51*'Навигатор накоплений'!D24*IF(YEAR(U52)=YEAR(V52-1),(V52-U52)/(DATE(YEAR(U52),12,31)-DATE(YEAR(U52),1,1)+1),(DATE(YEAR(U52)+1,1,1)-U52)/(DATE(YEAR(U52),12,31)-DATE(YEAR(U52),1,1)+1)+(V52-DATE(YEAR(V52),1,1))/(DATE(YEAR(V52),12,31)-DATE(YEAR(V52),1,1)+1)),2))</f>
        <v/>
      </c>
      <c r="X52" s="46" t="str">
        <f>IF(U52="","",ROUND(X51+W52+IF(V52&lt;'Навигатор накоплений'!F24,N('Навигатор накоплений'!G24),0),2))</f>
        <v/>
      </c>
      <c r="Z52" s="45" t="str">
        <f>IF('Навигатор накоплений'!A25="","",IF(46&lt;=DATEDIF('Навигатор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накоплений'!F25,1,0),AA51,""))</f>
        <v/>
      </c>
      <c r="AA52" s="45" t="str">
        <f>IF(Z52="","",MIN(EDATE('Навигатор накоплений'!E25,46),'Навигатор накоплений'!F25))</f>
        <v/>
      </c>
      <c r="AB52" s="46" t="str">
        <f>IF(Z52="","",ROUND(AC51*'Навигатор накоплений'!D25*IF(YEAR(Z52)=YEAR(AA52-1),(AA52-Z52)/(DATE(YEAR(Z52),12,31)-DATE(YEAR(Z52),1,1)+1),(DATE(YEAR(Z52)+1,1,1)-Z52)/(DATE(YEAR(Z52),12,31)-DATE(YEAR(Z52),1,1)+1)+(AA52-DATE(YEAR(AA52),1,1))/(DATE(YEAR(AA52),12,31)-DATE(YEAR(AA52),1,1)+1)),2))</f>
        <v/>
      </c>
      <c r="AC52" s="46" t="str">
        <f>IF(Z52="","",ROUND(AC51+AB52+IF(AA52&lt;'Навигатор накоплений'!F25,N('Навигатор накоплений'!G25),0),2))</f>
        <v/>
      </c>
      <c r="AE52" t="str">
        <f>IF('Навигатор накоплений'!A26="","",IF(46&lt;=DATEDIF('Навигатор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накоплений'!F26,1,0),AF51,""))</f>
        <v/>
      </c>
      <c r="AF52" t="str">
        <f>IF(AE52="","",MIN(EDATE('Навигатор накоплений'!E26,46),'Навигатор накоплений'!F26))</f>
        <v/>
      </c>
      <c r="AG52" t="str">
        <f>IF(AE52="","",ROUND(AH51*'Навигатор накоплений'!D26*IF(YEAR(AE52)=YEAR(AF52-1),(AF52-AE52)/(DATE(YEAR(AE52),12,31)-DATE(YEAR(AE52),1,1)+1),(DATE(YEAR(AE52)+1,1,1)-AE52)/(DATE(YEAR(AE52),12,31)-DATE(YEAR(AE52),1,1)+1)+(AF52-DATE(YEAR(AF52),1,1))/(DATE(YEAR(AF52),12,31)-DATE(YEAR(AF52),1,1)+1)),2))</f>
        <v/>
      </c>
      <c r="AH52" t="str">
        <f>IF(AE52="","",ROUND(AH51+AG52+IF(AF52&lt;'Навигатор накоплений'!F26,N('Навигатор накоплений'!G26),0),2))</f>
        <v/>
      </c>
      <c r="AJ52" t="str">
        <f>IF('Навигатор накоплений'!A27="","",IF(46&lt;=DATEDIF('Навигатор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накоплений'!F27,1,0),AK51,""))</f>
        <v/>
      </c>
      <c r="AK52" t="str">
        <f>IF(AJ52="","",MIN(EDATE('Навигатор накоплений'!E27,46),'Навигатор накоплений'!F27))</f>
        <v/>
      </c>
      <c r="AL52" t="str">
        <f>IF(AJ52="","",ROUND(AM51*'Навигатор накоплений'!D27*IF(YEAR(AJ52)=YEAR(AK52-1),(AK52-AJ52)/(DATE(YEAR(AJ52),12,31)-DATE(YEAR(AJ52),1,1)+1),(DATE(YEAR(AJ52)+1,1,1)-AJ52)/(DATE(YEAR(AJ52),12,31)-DATE(YEAR(AJ52),1,1)+1)+(AK52-DATE(YEAR(AK52),1,1))/(DATE(YEAR(AK52),12,31)-DATE(YEAR(AK52),1,1)+1)),2))</f>
        <v/>
      </c>
      <c r="AM52" t="str">
        <f>IF(AJ52="","",ROUND(AM51+AL52+IF(AK52&lt;'Навигатор накоплений'!F27,N('Навигатор накоплений'!G27),0),2))</f>
        <v/>
      </c>
      <c r="AO52" t="str">
        <f>IF('Навигатор накоплений'!A28="","",IF(46&lt;=DATEDIF('Навигатор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накоплений'!F28,1,0),AP51,""))</f>
        <v/>
      </c>
      <c r="AP52" t="str">
        <f>IF(AO52="","",MIN(EDATE('Навигатор накоплений'!E28,46),'Навигатор накоплений'!F28))</f>
        <v/>
      </c>
      <c r="AQ52" t="str">
        <f>IF(AO52="","",ROUND(AR51*'Навигатор накоплений'!D28*IF(YEAR(AO52)=YEAR(AP52-1),(AP52-AO52)/(DATE(YEAR(AO52),12,31)-DATE(YEAR(AO52),1,1)+1),(DATE(YEAR(AO52)+1,1,1)-AO52)/(DATE(YEAR(AO52),12,31)-DATE(YEAR(AO52),1,1)+1)+(AP52-DATE(YEAR(AP52),1,1))/(DATE(YEAR(AP52),12,31)-DATE(YEAR(AP52),1,1)+1)),2))</f>
        <v/>
      </c>
      <c r="AR52" t="str">
        <f>IF(AO52="","",ROUND(AR51+AQ52+IF(AP52&lt;'Навигатор накоплений'!F28,N('Навигатор накоплений'!G28),0),2))</f>
        <v/>
      </c>
      <c r="AT52">
        <f t="shared" si="20"/>
        <v>0</v>
      </c>
      <c r="AU52">
        <f t="shared" si="21"/>
        <v>0</v>
      </c>
      <c r="AV52">
        <f t="shared" si="22"/>
        <v>0</v>
      </c>
      <c r="AW52">
        <f t="shared" si="23"/>
        <v>0</v>
      </c>
      <c r="AX52">
        <f t="shared" si="24"/>
        <v>0</v>
      </c>
      <c r="AY52">
        <f t="shared" si="25"/>
        <v>0</v>
      </c>
      <c r="AZ52">
        <f t="shared" si="26"/>
        <v>0</v>
      </c>
      <c r="BA52"/>
      <c r="BB52"/>
      <c r="BD52"/>
      <c r="BE52"/>
      <c r="BF52"/>
      <c r="BG52"/>
    </row>
    <row r="53" spans="1:59" ht="15" x14ac:dyDescent="0.2">
      <c r="A53" s="43">
        <v>10</v>
      </c>
      <c r="B53" s="45" t="str">
        <f>IF('Навигатор накоплений'!A33="","",EDATE('Навигатор накоплений'!C33,A53-1))</f>
        <v/>
      </c>
      <c r="C53" s="45" t="str">
        <f>IF(B53="","",EDATE('Навигатор накоплений'!C33,A53))</f>
        <v/>
      </c>
      <c r="D53" s="46" t="str">
        <f t="shared" si="29"/>
        <v/>
      </c>
      <c r="E53" s="46" t="str">
        <f>IF(B53="","",N('Навигатор накоплений'!G33))</f>
        <v/>
      </c>
      <c r="F53" s="46" t="str">
        <f>IF(B53="","",IF('Навигатор накоплений'!F33="Ежедневный остаток",D53+E53,D53))</f>
        <v/>
      </c>
      <c r="G53" s="48" t="str">
        <f t="shared" si="27"/>
        <v/>
      </c>
      <c r="H53" s="46" t="str">
        <f>IF(B53="","",ROUND(F53*'Навигатор накоплений'!E33*IF(YEAR(B53)=YEAR(C53-1),(C53-B53)/(DATE(YEAR(B53),12,31)-DATE(YEAR(B53),1,1)+1),(DATE(YEAR(B53)+1,1,1)-B53)/(DATE(YEAR(B53),12,31)-DATE(YEAR(B53),1,1)+1)+(C53-DATE(YEAR(C53),1,1))/(DATE(YEAR(C53),12,31)-DATE(YEAR(C53),1,1)+1)),2))</f>
        <v/>
      </c>
      <c r="I53" s="46" t="str">
        <f t="shared" si="28"/>
        <v/>
      </c>
      <c r="K53" s="45" t="str">
        <f>IF('Навигатор накоплений'!A22="","",IF(47&lt;=DATEDIF('Навигатор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накоплений'!F22,1,0),L52,""))</f>
        <v/>
      </c>
      <c r="L53" s="45" t="str">
        <f>IF(K53="","",MIN(EDATE('Навигатор накоплений'!E22,47),'Навигатор накоплений'!F22))</f>
        <v/>
      </c>
      <c r="M53" s="46" t="str">
        <f>IF(K53="","",ROUND(N52*'Навигатор накоплений'!D22*IF(YEAR(K53)=YEAR(L53-1),(L53-K53)/(DATE(YEAR(K53),12,31)-DATE(YEAR(K53),1,1)+1),(DATE(YEAR(K53)+1,1,1)-K53)/(DATE(YEAR(K53),12,31)-DATE(YEAR(K53),1,1)+1)+(L53-DATE(YEAR(L53),1,1))/(DATE(YEAR(L53),12,31)-DATE(YEAR(L53),1,1)+1)),2))</f>
        <v/>
      </c>
      <c r="N53" s="46" t="str">
        <f>IF(K53="","",ROUND(N52+M53+IF(L53&lt;'Навигатор накоплений'!F22,N('Навигатор накоплений'!G22),0),2))</f>
        <v/>
      </c>
      <c r="P53" s="45" t="str">
        <f>IF('Навигатор накоплений'!A23="","",IF(47&lt;=DATEDIF('Навигатор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накоплений'!F23,1,0),Q52,""))</f>
        <v/>
      </c>
      <c r="Q53" s="45" t="str">
        <f>IF(P53="","",MIN(EDATE('Навигатор накоплений'!E23,47),'Навигатор накоплений'!F23))</f>
        <v/>
      </c>
      <c r="R53" s="46" t="str">
        <f>IF(P53="","",ROUND(S52*'Навигатор накоплений'!D23*IF(YEAR(P53)=YEAR(Q53-1),(Q53-P53)/(DATE(YEAR(P53),12,31)-DATE(YEAR(P53),1,1)+1),(DATE(YEAR(P53)+1,1,1)-P53)/(DATE(YEAR(P53),12,31)-DATE(YEAR(P53),1,1)+1)+(Q53-DATE(YEAR(Q53),1,1))/(DATE(YEAR(Q53),12,31)-DATE(YEAR(Q53),1,1)+1)),2))</f>
        <v/>
      </c>
      <c r="S53" s="46" t="str">
        <f>IF(P53="","",ROUND(S52+R53+IF(Q53&lt;'Навигатор накоплений'!F23,N('Навигатор накоплений'!G23),0),2))</f>
        <v/>
      </c>
      <c r="U53" s="45" t="str">
        <f>IF('Навигатор накоплений'!A24="","",IF(47&lt;=DATEDIF('Навигатор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накоплений'!F24,1,0),V52,""))</f>
        <v/>
      </c>
      <c r="V53" s="45" t="str">
        <f>IF(U53="","",MIN(EDATE('Навигатор накоплений'!E24,47),'Навигатор накоплений'!F24))</f>
        <v/>
      </c>
      <c r="W53" s="46" t="str">
        <f>IF(U53="","",ROUND(X52*'Навигатор накоплений'!D24*IF(YEAR(U53)=YEAR(V53-1),(V53-U53)/(DATE(YEAR(U53),12,31)-DATE(YEAR(U53),1,1)+1),(DATE(YEAR(U53)+1,1,1)-U53)/(DATE(YEAR(U53),12,31)-DATE(YEAR(U53),1,1)+1)+(V53-DATE(YEAR(V53),1,1))/(DATE(YEAR(V53),12,31)-DATE(YEAR(V53),1,1)+1)),2))</f>
        <v/>
      </c>
      <c r="X53" s="46" t="str">
        <f>IF(U53="","",ROUND(X52+W53+IF(V53&lt;'Навигатор накоплений'!F24,N('Навигатор накоплений'!G24),0),2))</f>
        <v/>
      </c>
      <c r="Z53" s="45" t="str">
        <f>IF('Навигатор накоплений'!A25="","",IF(47&lt;=DATEDIF('Навигатор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накоплений'!F25,1,0),AA52,""))</f>
        <v/>
      </c>
      <c r="AA53" s="45" t="str">
        <f>IF(Z53="","",MIN(EDATE('Навигатор накоплений'!E25,47),'Навигатор накоплений'!F25))</f>
        <v/>
      </c>
      <c r="AB53" s="46" t="str">
        <f>IF(Z53="","",ROUND(AC52*'Навигатор накоплений'!D25*IF(YEAR(Z53)=YEAR(AA53-1),(AA53-Z53)/(DATE(YEAR(Z53),12,31)-DATE(YEAR(Z53),1,1)+1),(DATE(YEAR(Z53)+1,1,1)-Z53)/(DATE(YEAR(Z53),12,31)-DATE(YEAR(Z53),1,1)+1)+(AA53-DATE(YEAR(AA53),1,1))/(DATE(YEAR(AA53),12,31)-DATE(YEAR(AA53),1,1)+1)),2))</f>
        <v/>
      </c>
      <c r="AC53" s="46" t="str">
        <f>IF(Z53="","",ROUND(AC52+AB53+IF(AA53&lt;'Навигатор накоплений'!F25,N('Навигатор накоплений'!G25),0),2))</f>
        <v/>
      </c>
      <c r="AE53" t="str">
        <f>IF('Навигатор накоплений'!A26="","",IF(47&lt;=DATEDIF('Навигатор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накоплений'!F26,1,0),AF52,""))</f>
        <v/>
      </c>
      <c r="AF53" t="str">
        <f>IF(AE53="","",MIN(EDATE('Навигатор накоплений'!E26,47),'Навигатор накоплений'!F26))</f>
        <v/>
      </c>
      <c r="AG53" t="str">
        <f>IF(AE53="","",ROUND(AH52*'Навигатор накоплений'!D26*IF(YEAR(AE53)=YEAR(AF53-1),(AF53-AE53)/(DATE(YEAR(AE53),12,31)-DATE(YEAR(AE53),1,1)+1),(DATE(YEAR(AE53)+1,1,1)-AE53)/(DATE(YEAR(AE53),12,31)-DATE(YEAR(AE53),1,1)+1)+(AF53-DATE(YEAR(AF53),1,1))/(DATE(YEAR(AF53),12,31)-DATE(YEAR(AF53),1,1)+1)),2))</f>
        <v/>
      </c>
      <c r="AH53" t="str">
        <f>IF(AE53="","",ROUND(AH52+AG53+IF(AF53&lt;'Навигатор накоплений'!F26,N('Навигатор накоплений'!G26),0),2))</f>
        <v/>
      </c>
      <c r="AJ53" t="str">
        <f>IF('Навигатор накоплений'!A27="","",IF(47&lt;=DATEDIF('Навигатор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накоплений'!F27,1,0),AK52,""))</f>
        <v/>
      </c>
      <c r="AK53" t="str">
        <f>IF(AJ53="","",MIN(EDATE('Навигатор накоплений'!E27,47),'Навигатор накоплений'!F27))</f>
        <v/>
      </c>
      <c r="AL53" t="str">
        <f>IF(AJ53="","",ROUND(AM52*'Навигатор накоплений'!D27*IF(YEAR(AJ53)=YEAR(AK53-1),(AK53-AJ53)/(DATE(YEAR(AJ53),12,31)-DATE(YEAR(AJ53),1,1)+1),(DATE(YEAR(AJ53)+1,1,1)-AJ53)/(DATE(YEAR(AJ53),12,31)-DATE(YEAR(AJ53),1,1)+1)+(AK53-DATE(YEAR(AK53),1,1))/(DATE(YEAR(AK53),12,31)-DATE(YEAR(AK53),1,1)+1)),2))</f>
        <v/>
      </c>
      <c r="AM53" t="str">
        <f>IF(AJ53="","",ROUND(AM52+AL53+IF(AK53&lt;'Навигатор накоплений'!F27,N('Навигатор накоплений'!G27),0),2))</f>
        <v/>
      </c>
      <c r="AO53" t="str">
        <f>IF('Навигатор накоплений'!A28="","",IF(47&lt;=DATEDIF('Навигатор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накоплений'!F28,1,0),AP52,""))</f>
        <v/>
      </c>
      <c r="AP53" t="str">
        <f>IF(AO53="","",MIN(EDATE('Навигатор накоплений'!E28,47),'Навигатор накоплений'!F28))</f>
        <v/>
      </c>
      <c r="AQ53" t="str">
        <f>IF(AO53="","",ROUND(AR52*'Навигатор накоплений'!D28*IF(YEAR(AO53)=YEAR(AP53-1),(AP53-AO53)/(DATE(YEAR(AO53),12,31)-DATE(YEAR(AO53),1,1)+1),(DATE(YEAR(AO53)+1,1,1)-AO53)/(DATE(YEAR(AO53),12,31)-DATE(YEAR(AO53),1,1)+1)+(AP53-DATE(YEAR(AP53),1,1))/(DATE(YEAR(AP53),12,31)-DATE(YEAR(AP53),1,1)+1)),2))</f>
        <v/>
      </c>
      <c r="AR53" t="str">
        <f>IF(AO53="","",ROUND(AR52+AQ53+IF(AP53&lt;'Навигатор накоплений'!F28,N('Навигатор накоплений'!G28),0),2))</f>
        <v/>
      </c>
      <c r="AT53">
        <f t="shared" si="20"/>
        <v>0</v>
      </c>
      <c r="AU53">
        <f t="shared" si="21"/>
        <v>0</v>
      </c>
      <c r="AV53">
        <f t="shared" si="22"/>
        <v>0</v>
      </c>
      <c r="AW53">
        <f t="shared" si="23"/>
        <v>0</v>
      </c>
      <c r="AX53">
        <f t="shared" si="24"/>
        <v>0</v>
      </c>
      <c r="AY53">
        <f t="shared" si="25"/>
        <v>0</v>
      </c>
      <c r="AZ53">
        <f t="shared" si="26"/>
        <v>0</v>
      </c>
      <c r="BA53"/>
      <c r="BB53"/>
      <c r="BD53"/>
      <c r="BE53"/>
      <c r="BF53"/>
      <c r="BG53"/>
    </row>
    <row r="54" spans="1:59" ht="15" x14ac:dyDescent="0.2">
      <c r="A54" s="43">
        <v>11</v>
      </c>
      <c r="B54" s="45" t="str">
        <f>IF('Навигатор накоплений'!A33="","",EDATE('Навигатор накоплений'!C33,A54-1))</f>
        <v/>
      </c>
      <c r="C54" s="45" t="str">
        <f>IF(B54="","",EDATE('Навигатор накоплений'!C33,A54))</f>
        <v/>
      </c>
      <c r="D54" s="46" t="str">
        <f t="shared" si="29"/>
        <v/>
      </c>
      <c r="E54" s="46" t="str">
        <f>IF(B54="","",N('Навигатор накоплений'!G33))</f>
        <v/>
      </c>
      <c r="F54" s="46" t="str">
        <f>IF(B54="","",IF('Навигатор накоплений'!F33="Ежедневный остаток",D54+E54,D54))</f>
        <v/>
      </c>
      <c r="G54" s="48" t="str">
        <f t="shared" si="27"/>
        <v/>
      </c>
      <c r="H54" s="46" t="str">
        <f>IF(B54="","",ROUND(F54*'Навигатор накоплений'!E33*IF(YEAR(B54)=YEAR(C54-1),(C54-B54)/(DATE(YEAR(B54),12,31)-DATE(YEAR(B54),1,1)+1),(DATE(YEAR(B54)+1,1,1)-B54)/(DATE(YEAR(B54),12,31)-DATE(YEAR(B54),1,1)+1)+(C54-DATE(YEAR(C54),1,1))/(DATE(YEAR(C54),12,31)-DATE(YEAR(C54),1,1)+1)),2))</f>
        <v/>
      </c>
      <c r="I54" s="46" t="str">
        <f t="shared" si="28"/>
        <v/>
      </c>
      <c r="K54" s="45" t="str">
        <f>IF('Навигатор накоплений'!A22="","",IF(48&lt;=DATEDIF('Навигатор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накоплений'!F22,1,0),L53,""))</f>
        <v/>
      </c>
      <c r="L54" s="45" t="str">
        <f>IF(K54="","",MIN(EDATE('Навигатор накоплений'!E22,48),'Навигатор накоплений'!F22))</f>
        <v/>
      </c>
      <c r="M54" s="46" t="str">
        <f>IF(K54="","",ROUND(N53*'Навигатор накоплений'!D22*IF(YEAR(K54)=YEAR(L54-1),(L54-K54)/(DATE(YEAR(K54),12,31)-DATE(YEAR(K54),1,1)+1),(DATE(YEAR(K54)+1,1,1)-K54)/(DATE(YEAR(K54),12,31)-DATE(YEAR(K54),1,1)+1)+(L54-DATE(YEAR(L54),1,1))/(DATE(YEAR(L54),12,31)-DATE(YEAR(L54),1,1)+1)),2))</f>
        <v/>
      </c>
      <c r="N54" s="46" t="str">
        <f>IF(K54="","",ROUND(N53+M54+IF(L54&lt;'Навигатор накоплений'!F22,N('Навигатор накоплений'!G22),0),2))</f>
        <v/>
      </c>
      <c r="P54" s="45" t="str">
        <f>IF('Навигатор накоплений'!A23="","",IF(48&lt;=DATEDIF('Навигатор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накоплений'!F23,1,0),Q53,""))</f>
        <v/>
      </c>
      <c r="Q54" s="45" t="str">
        <f>IF(P54="","",MIN(EDATE('Навигатор накоплений'!E23,48),'Навигатор накоплений'!F23))</f>
        <v/>
      </c>
      <c r="R54" s="46" t="str">
        <f>IF(P54="","",ROUND(S53*'Навигатор накоплений'!D23*IF(YEAR(P54)=YEAR(Q54-1),(Q54-P54)/(DATE(YEAR(P54),12,31)-DATE(YEAR(P54),1,1)+1),(DATE(YEAR(P54)+1,1,1)-P54)/(DATE(YEAR(P54),12,31)-DATE(YEAR(P54),1,1)+1)+(Q54-DATE(YEAR(Q54),1,1))/(DATE(YEAR(Q54),12,31)-DATE(YEAR(Q54),1,1)+1)),2))</f>
        <v/>
      </c>
      <c r="S54" s="46" t="str">
        <f>IF(P54="","",ROUND(S53+R54+IF(Q54&lt;'Навигатор накоплений'!F23,N('Навигатор накоплений'!G23),0),2))</f>
        <v/>
      </c>
      <c r="U54" s="45" t="str">
        <f>IF('Навигатор накоплений'!A24="","",IF(48&lt;=DATEDIF('Навигатор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накоплений'!F24,1,0),V53,""))</f>
        <v/>
      </c>
      <c r="V54" s="45" t="str">
        <f>IF(U54="","",MIN(EDATE('Навигатор накоплений'!E24,48),'Навигатор накоплений'!F24))</f>
        <v/>
      </c>
      <c r="W54" s="46" t="str">
        <f>IF(U54="","",ROUND(X53*'Навигатор накоплений'!D24*IF(YEAR(U54)=YEAR(V54-1),(V54-U54)/(DATE(YEAR(U54),12,31)-DATE(YEAR(U54),1,1)+1),(DATE(YEAR(U54)+1,1,1)-U54)/(DATE(YEAR(U54),12,31)-DATE(YEAR(U54),1,1)+1)+(V54-DATE(YEAR(V54),1,1))/(DATE(YEAR(V54),12,31)-DATE(YEAR(V54),1,1)+1)),2))</f>
        <v/>
      </c>
      <c r="X54" s="46" t="str">
        <f>IF(U54="","",ROUND(X53+W54+IF(V54&lt;'Навигатор накоплений'!F24,N('Навигатор накоплений'!G24),0),2))</f>
        <v/>
      </c>
      <c r="Z54" s="45" t="str">
        <f>IF('Навигатор накоплений'!A25="","",IF(48&lt;=DATEDIF('Навигатор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накоплений'!F25,1,0),AA53,""))</f>
        <v/>
      </c>
      <c r="AA54" s="45" t="str">
        <f>IF(Z54="","",MIN(EDATE('Навигатор накоплений'!E25,48),'Навигатор накоплений'!F25))</f>
        <v/>
      </c>
      <c r="AB54" s="46" t="str">
        <f>IF(Z54="","",ROUND(AC53*'Навигатор накоплений'!D25*IF(YEAR(Z54)=YEAR(AA54-1),(AA54-Z54)/(DATE(YEAR(Z54),12,31)-DATE(YEAR(Z54),1,1)+1),(DATE(YEAR(Z54)+1,1,1)-Z54)/(DATE(YEAR(Z54),12,31)-DATE(YEAR(Z54),1,1)+1)+(AA54-DATE(YEAR(AA54),1,1))/(DATE(YEAR(AA54),12,31)-DATE(YEAR(AA54),1,1)+1)),2))</f>
        <v/>
      </c>
      <c r="AC54" s="46" t="str">
        <f>IF(Z54="","",ROUND(AC53+AB54+IF(AA54&lt;'Навигатор накоплений'!F25,N('Навигатор накоплений'!G25),0),2))</f>
        <v/>
      </c>
      <c r="AE54" t="str">
        <f>IF('Навигатор накоплений'!A26="","",IF(48&lt;=DATEDIF('Навигатор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накоплений'!F26,1,0),AF53,""))</f>
        <v/>
      </c>
      <c r="AF54" t="str">
        <f>IF(AE54="","",MIN(EDATE('Навигатор накоплений'!E26,48),'Навигатор накоплений'!F26))</f>
        <v/>
      </c>
      <c r="AG54" t="str">
        <f>IF(AE54="","",ROUND(AH53*'Навигатор накоплений'!D26*IF(YEAR(AE54)=YEAR(AF54-1),(AF54-AE54)/(DATE(YEAR(AE54),12,31)-DATE(YEAR(AE54),1,1)+1),(DATE(YEAR(AE54)+1,1,1)-AE54)/(DATE(YEAR(AE54),12,31)-DATE(YEAR(AE54),1,1)+1)+(AF54-DATE(YEAR(AF54),1,1))/(DATE(YEAR(AF54),12,31)-DATE(YEAR(AF54),1,1)+1)),2))</f>
        <v/>
      </c>
      <c r="AH54" t="str">
        <f>IF(AE54="","",ROUND(AH53+AG54+IF(AF54&lt;'Навигатор накоплений'!F26,N('Навигатор накоплений'!G26),0),2))</f>
        <v/>
      </c>
      <c r="AJ54" t="str">
        <f>IF('Навигатор накоплений'!A27="","",IF(48&lt;=DATEDIF('Навигатор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накоплений'!F27,1,0),AK53,""))</f>
        <v/>
      </c>
      <c r="AK54" t="str">
        <f>IF(AJ54="","",MIN(EDATE('Навигатор накоплений'!E27,48),'Навигатор накоплений'!F27))</f>
        <v/>
      </c>
      <c r="AL54" t="str">
        <f>IF(AJ54="","",ROUND(AM53*'Навигатор накоплений'!D27*IF(YEAR(AJ54)=YEAR(AK54-1),(AK54-AJ54)/(DATE(YEAR(AJ54),12,31)-DATE(YEAR(AJ54),1,1)+1),(DATE(YEAR(AJ54)+1,1,1)-AJ54)/(DATE(YEAR(AJ54),12,31)-DATE(YEAR(AJ54),1,1)+1)+(AK54-DATE(YEAR(AK54),1,1))/(DATE(YEAR(AK54),12,31)-DATE(YEAR(AK54),1,1)+1)),2))</f>
        <v/>
      </c>
      <c r="AM54" t="str">
        <f>IF(AJ54="","",ROUND(AM53+AL54+IF(AK54&lt;'Навигатор накоплений'!F27,N('Навигатор накоплений'!G27),0),2))</f>
        <v/>
      </c>
      <c r="AO54" t="str">
        <f>IF('Навигатор накоплений'!A28="","",IF(48&lt;=DATEDIF('Навигатор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накоплений'!F28,1,0),AP53,""))</f>
        <v/>
      </c>
      <c r="AP54" t="str">
        <f>IF(AO54="","",MIN(EDATE('Навигатор накоплений'!E28,48),'Навигатор накоплений'!F28))</f>
        <v/>
      </c>
      <c r="AQ54" t="str">
        <f>IF(AO54="","",ROUND(AR53*'Навигатор накоплений'!D28*IF(YEAR(AO54)=YEAR(AP54-1),(AP54-AO54)/(DATE(YEAR(AO54),12,31)-DATE(YEAR(AO54),1,1)+1),(DATE(YEAR(AO54)+1,1,1)-AO54)/(DATE(YEAR(AO54),12,31)-DATE(YEAR(AO54),1,1)+1)+(AP54-DATE(YEAR(AP54),1,1))/(DATE(YEAR(AP54),12,31)-DATE(YEAR(AP54),1,1)+1)),2))</f>
        <v/>
      </c>
      <c r="AR54" t="str">
        <f>IF(AO54="","",ROUND(AR53+AQ54+IF(AP54&lt;'Навигатор накоплений'!F28,N('Навигатор накоплений'!G28),0),2))</f>
        <v/>
      </c>
      <c r="AT54">
        <f t="shared" si="20"/>
        <v>0</v>
      </c>
      <c r="AU54">
        <f t="shared" si="21"/>
        <v>0</v>
      </c>
      <c r="AV54">
        <f t="shared" si="22"/>
        <v>0</v>
      </c>
      <c r="AW54">
        <f t="shared" si="23"/>
        <v>0</v>
      </c>
      <c r="AX54">
        <f t="shared" si="24"/>
        <v>0</v>
      </c>
      <c r="AY54">
        <f t="shared" si="25"/>
        <v>0</v>
      </c>
      <c r="AZ54">
        <f t="shared" si="26"/>
        <v>0</v>
      </c>
      <c r="BA54"/>
      <c r="BB54"/>
      <c r="BD54"/>
      <c r="BE54"/>
      <c r="BF54"/>
      <c r="BG54"/>
    </row>
    <row r="55" spans="1:59" ht="15" x14ac:dyDescent="0.2">
      <c r="A55" s="43">
        <v>12</v>
      </c>
      <c r="B55" s="45" t="str">
        <f>IF('Навигатор накоплений'!A33="","",EDATE('Навигатор накоплений'!C33,A55-1))</f>
        <v/>
      </c>
      <c r="C55" s="45" t="str">
        <f>IF(B55="","",EDATE('Навигатор накоплений'!C33,A55))</f>
        <v/>
      </c>
      <c r="D55" s="46" t="str">
        <f t="shared" si="29"/>
        <v/>
      </c>
      <c r="E55" s="46" t="str">
        <f>IF(B55="","",N('Навигатор накоплений'!G33))</f>
        <v/>
      </c>
      <c r="F55" s="46" t="str">
        <f>IF(B55="","",IF('Навигатор накоплений'!F33="Ежедневный остаток",D55+E55,D55))</f>
        <v/>
      </c>
      <c r="G55" s="48" t="str">
        <f t="shared" si="27"/>
        <v/>
      </c>
      <c r="H55" s="46" t="str">
        <f>IF(B55="","",ROUND(F55*'Навигатор накоплений'!E33*IF(YEAR(B55)=YEAR(C55-1),(C55-B55)/(DATE(YEAR(B55),12,31)-DATE(YEAR(B55),1,1)+1),(DATE(YEAR(B55)+1,1,1)-B55)/(DATE(YEAR(B55),12,31)-DATE(YEAR(B55),1,1)+1)+(C55-DATE(YEAR(C55),1,1))/(DATE(YEAR(C55),12,31)-DATE(YEAR(C55),1,1)+1)),2))</f>
        <v/>
      </c>
      <c r="I55" s="46" t="str">
        <f t="shared" si="28"/>
        <v/>
      </c>
      <c r="K55" s="45" t="str">
        <f>IF('Навигатор накоплений'!A22="","",IF(49&lt;=DATEDIF('Навигатор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накоплений'!F22,1,0),L54,""))</f>
        <v/>
      </c>
      <c r="L55" s="45" t="str">
        <f>IF(K55="","",MIN(EDATE('Навигатор накоплений'!E22,49),'Навигатор накоплений'!F22))</f>
        <v/>
      </c>
      <c r="M55" s="46" t="str">
        <f>IF(K55="","",ROUND(N54*'Навигатор накоплений'!D22*IF(YEAR(K55)=YEAR(L55-1),(L55-K55)/(DATE(YEAR(K55),12,31)-DATE(YEAR(K55),1,1)+1),(DATE(YEAR(K55)+1,1,1)-K55)/(DATE(YEAR(K55),12,31)-DATE(YEAR(K55),1,1)+1)+(L55-DATE(YEAR(L55),1,1))/(DATE(YEAR(L55),12,31)-DATE(YEAR(L55),1,1)+1)),2))</f>
        <v/>
      </c>
      <c r="N55" s="46" t="str">
        <f>IF(K55="","",ROUND(N54+M55+IF(L55&lt;'Навигатор накоплений'!F22,N('Навигатор накоплений'!G22),0),2))</f>
        <v/>
      </c>
      <c r="P55" s="45" t="str">
        <f>IF('Навигатор накоплений'!A23="","",IF(49&lt;=DATEDIF('Навигатор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накоплений'!F23,1,0),Q54,""))</f>
        <v/>
      </c>
      <c r="Q55" s="45" t="str">
        <f>IF(P55="","",MIN(EDATE('Навигатор накоплений'!E23,49),'Навигатор накоплений'!F23))</f>
        <v/>
      </c>
      <c r="R55" s="46" t="str">
        <f>IF(P55="","",ROUND(S54*'Навигатор накоплений'!D23*IF(YEAR(P55)=YEAR(Q55-1),(Q55-P55)/(DATE(YEAR(P55),12,31)-DATE(YEAR(P55),1,1)+1),(DATE(YEAR(P55)+1,1,1)-P55)/(DATE(YEAR(P55),12,31)-DATE(YEAR(P55),1,1)+1)+(Q55-DATE(YEAR(Q55),1,1))/(DATE(YEAR(Q55),12,31)-DATE(YEAR(Q55),1,1)+1)),2))</f>
        <v/>
      </c>
      <c r="S55" s="46" t="str">
        <f>IF(P55="","",ROUND(S54+R55+IF(Q55&lt;'Навигатор накоплений'!F23,N('Навигатор накоплений'!G23),0),2))</f>
        <v/>
      </c>
      <c r="U55" s="45" t="str">
        <f>IF('Навигатор накоплений'!A24="","",IF(49&lt;=DATEDIF('Навигатор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накоплений'!F24,1,0),V54,""))</f>
        <v/>
      </c>
      <c r="V55" s="45" t="str">
        <f>IF(U55="","",MIN(EDATE('Навигатор накоплений'!E24,49),'Навигатор накоплений'!F24))</f>
        <v/>
      </c>
      <c r="W55" s="46" t="str">
        <f>IF(U55="","",ROUND(X54*'Навигатор накоплений'!D24*IF(YEAR(U55)=YEAR(V55-1),(V55-U55)/(DATE(YEAR(U55),12,31)-DATE(YEAR(U55),1,1)+1),(DATE(YEAR(U55)+1,1,1)-U55)/(DATE(YEAR(U55),12,31)-DATE(YEAR(U55),1,1)+1)+(V55-DATE(YEAR(V55),1,1))/(DATE(YEAR(V55),12,31)-DATE(YEAR(V55),1,1)+1)),2))</f>
        <v/>
      </c>
      <c r="X55" s="46" t="str">
        <f>IF(U55="","",ROUND(X54+W55+IF(V55&lt;'Навигатор накоплений'!F24,N('Навигатор накоплений'!G24),0),2))</f>
        <v/>
      </c>
      <c r="Z55" s="45" t="str">
        <f>IF('Навигатор накоплений'!A25="","",IF(49&lt;=DATEDIF('Навигатор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накоплений'!F25,1,0),AA54,""))</f>
        <v/>
      </c>
      <c r="AA55" s="45" t="str">
        <f>IF(Z55="","",MIN(EDATE('Навигатор накоплений'!E25,49),'Навигатор накоплений'!F25))</f>
        <v/>
      </c>
      <c r="AB55" s="46" t="str">
        <f>IF(Z55="","",ROUND(AC54*'Навигатор накоплений'!D25*IF(YEAR(Z55)=YEAR(AA55-1),(AA55-Z55)/(DATE(YEAR(Z55),12,31)-DATE(YEAR(Z55),1,1)+1),(DATE(YEAR(Z55)+1,1,1)-Z55)/(DATE(YEAR(Z55),12,31)-DATE(YEAR(Z55),1,1)+1)+(AA55-DATE(YEAR(AA55),1,1))/(DATE(YEAR(AA55),12,31)-DATE(YEAR(AA55),1,1)+1)),2))</f>
        <v/>
      </c>
      <c r="AC55" s="46" t="str">
        <f>IF(Z55="","",ROUND(AC54+AB55+IF(AA55&lt;'Навигатор накоплений'!F25,N('Навигатор накоплений'!G25),0),2))</f>
        <v/>
      </c>
      <c r="AE55" t="str">
        <f>IF('Навигатор накоплений'!A26="","",IF(49&lt;=DATEDIF('Навигатор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накоплений'!F26,1,0),AF54,""))</f>
        <v/>
      </c>
      <c r="AF55" t="str">
        <f>IF(AE55="","",MIN(EDATE('Навигатор накоплений'!E26,49),'Навигатор накоплений'!F26))</f>
        <v/>
      </c>
      <c r="AG55" t="str">
        <f>IF(AE55="","",ROUND(AH54*'Навигатор накоплений'!D26*IF(YEAR(AE55)=YEAR(AF55-1),(AF55-AE55)/(DATE(YEAR(AE55),12,31)-DATE(YEAR(AE55),1,1)+1),(DATE(YEAR(AE55)+1,1,1)-AE55)/(DATE(YEAR(AE55),12,31)-DATE(YEAR(AE55),1,1)+1)+(AF55-DATE(YEAR(AF55),1,1))/(DATE(YEAR(AF55),12,31)-DATE(YEAR(AF55),1,1)+1)),2))</f>
        <v/>
      </c>
      <c r="AH55" t="str">
        <f>IF(AE55="","",ROUND(AH54+AG55+IF(AF55&lt;'Навигатор накоплений'!F26,N('Навигатор накоплений'!G26),0),2))</f>
        <v/>
      </c>
      <c r="AJ55" t="str">
        <f>IF('Навигатор накоплений'!A27="","",IF(49&lt;=DATEDIF('Навигатор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накоплений'!F27,1,0),AK54,""))</f>
        <v/>
      </c>
      <c r="AK55" t="str">
        <f>IF(AJ55="","",MIN(EDATE('Навигатор накоплений'!E27,49),'Навигатор накоплений'!F27))</f>
        <v/>
      </c>
      <c r="AL55" t="str">
        <f>IF(AJ55="","",ROUND(AM54*'Навигатор накоплений'!D27*IF(YEAR(AJ55)=YEAR(AK55-1),(AK55-AJ55)/(DATE(YEAR(AJ55),12,31)-DATE(YEAR(AJ55),1,1)+1),(DATE(YEAR(AJ55)+1,1,1)-AJ55)/(DATE(YEAR(AJ55),12,31)-DATE(YEAR(AJ55),1,1)+1)+(AK55-DATE(YEAR(AK55),1,1))/(DATE(YEAR(AK55),12,31)-DATE(YEAR(AK55),1,1)+1)),2))</f>
        <v/>
      </c>
      <c r="AM55" t="str">
        <f>IF(AJ55="","",ROUND(AM54+AL55+IF(AK55&lt;'Навигатор накоплений'!F27,N('Навигатор накоплений'!G27),0),2))</f>
        <v/>
      </c>
      <c r="AO55" t="str">
        <f>IF('Навигатор накоплений'!A28="","",IF(49&lt;=DATEDIF('Навигатор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накоплений'!F28,1,0),AP54,""))</f>
        <v/>
      </c>
      <c r="AP55" t="str">
        <f>IF(AO55="","",MIN(EDATE('Навигатор накоплений'!E28,49),'Навигатор накоплений'!F28))</f>
        <v/>
      </c>
      <c r="AQ55" t="str">
        <f>IF(AO55="","",ROUND(AR54*'Навигатор накоплений'!D28*IF(YEAR(AO55)=YEAR(AP55-1),(AP55-AO55)/(DATE(YEAR(AO55),12,31)-DATE(YEAR(AO55),1,1)+1),(DATE(YEAR(AO55)+1,1,1)-AO55)/(DATE(YEAR(AO55),12,31)-DATE(YEAR(AO55),1,1)+1)+(AP55-DATE(YEAR(AP55),1,1))/(DATE(YEAR(AP55),12,31)-DATE(YEAR(AP55),1,1)+1)),2))</f>
        <v/>
      </c>
      <c r="AR55" t="str">
        <f>IF(AO55="","",ROUND(AR54+AQ55+IF(AP55&lt;'Навигатор накоплений'!F28,N('Навигатор накоплений'!G28),0),2))</f>
        <v/>
      </c>
      <c r="AT55">
        <f t="shared" si="20"/>
        <v>0</v>
      </c>
      <c r="AU55">
        <f t="shared" si="21"/>
        <v>0</v>
      </c>
      <c r="AV55">
        <f t="shared" si="22"/>
        <v>0</v>
      </c>
      <c r="AW55">
        <f t="shared" si="23"/>
        <v>0</v>
      </c>
      <c r="AX55">
        <f t="shared" si="24"/>
        <v>0</v>
      </c>
      <c r="AY55">
        <f t="shared" si="25"/>
        <v>0</v>
      </c>
      <c r="AZ55">
        <f t="shared" si="26"/>
        <v>0</v>
      </c>
      <c r="BA55"/>
      <c r="BB55"/>
      <c r="BD55"/>
      <c r="BE55"/>
      <c r="BF55"/>
      <c r="BG55"/>
    </row>
    <row r="56" spans="1:59" ht="15" x14ac:dyDescent="0.2">
      <c r="A56" s="105" t="s">
        <v>58</v>
      </c>
      <c r="B56" s="105"/>
      <c r="C56" s="105"/>
      <c r="D56" s="106"/>
      <c r="E56" s="49">
        <f>SUM(E44:E55)</f>
        <v>0</v>
      </c>
      <c r="F56" s="49" t="s">
        <v>59</v>
      </c>
      <c r="G56" s="50">
        <f>SUM(G44:G55)</f>
        <v>0</v>
      </c>
      <c r="H56" s="49" t="str">
        <f>IF('Навигатор накоплений'!A33="","",SUM(H44:H55))</f>
        <v/>
      </c>
      <c r="I56" s="49" t="str">
        <f>IF('Навигатор накоплений'!A33="","",I55)</f>
        <v/>
      </c>
      <c r="K56" s="45" t="str">
        <f>IF('Навигатор накоплений'!A22="","",IF(50&lt;=DATEDIF('Навигатор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накоплений'!F22,1,0),L55,""))</f>
        <v/>
      </c>
      <c r="L56" s="45" t="str">
        <f>IF(K56="","",MIN(EDATE('Навигатор накоплений'!E22,50),'Навигатор накоплений'!F22))</f>
        <v/>
      </c>
      <c r="M56" s="46" t="str">
        <f>IF(K56="","",ROUND(N55*'Навигатор накоплений'!D22*IF(YEAR(K56)=YEAR(L56-1),(L56-K56)/(DATE(YEAR(K56),12,31)-DATE(YEAR(K56),1,1)+1),(DATE(YEAR(K56)+1,1,1)-K56)/(DATE(YEAR(K56),12,31)-DATE(YEAR(K56),1,1)+1)+(L56-DATE(YEAR(L56),1,1))/(DATE(YEAR(L56),12,31)-DATE(YEAR(L56),1,1)+1)),2))</f>
        <v/>
      </c>
      <c r="N56" s="46" t="str">
        <f>IF(K56="","",ROUND(N55+M56+IF(L56&lt;'Навигатор накоплений'!F22,N('Навигатор накоплений'!G22),0),2))</f>
        <v/>
      </c>
      <c r="P56" s="45" t="str">
        <f>IF('Навигатор накоплений'!A23="","",IF(50&lt;=DATEDIF('Навигатор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накоплений'!F23,1,0),Q55,""))</f>
        <v/>
      </c>
      <c r="Q56" s="45" t="str">
        <f>IF(P56="","",MIN(EDATE('Навигатор накоплений'!E23,50),'Навигатор накоплений'!F23))</f>
        <v/>
      </c>
      <c r="R56" s="46" t="str">
        <f>IF(P56="","",ROUND(S55*'Навигатор накоплений'!D23*IF(YEAR(P56)=YEAR(Q56-1),(Q56-P56)/(DATE(YEAR(P56),12,31)-DATE(YEAR(P56),1,1)+1),(DATE(YEAR(P56)+1,1,1)-P56)/(DATE(YEAR(P56),12,31)-DATE(YEAR(P56),1,1)+1)+(Q56-DATE(YEAR(Q56),1,1))/(DATE(YEAR(Q56),12,31)-DATE(YEAR(Q56),1,1)+1)),2))</f>
        <v/>
      </c>
      <c r="S56" s="46" t="str">
        <f>IF(P56="","",ROUND(S55+R56+IF(Q56&lt;'Навигатор накоплений'!F23,N('Навигатор накоплений'!G23),0),2))</f>
        <v/>
      </c>
      <c r="U56" s="45" t="str">
        <f>IF('Навигатор накоплений'!A24="","",IF(50&lt;=DATEDIF('Навигатор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накоплений'!F24,1,0),V55,""))</f>
        <v/>
      </c>
      <c r="V56" s="45" t="str">
        <f>IF(U56="","",MIN(EDATE('Навигатор накоплений'!E24,50),'Навигатор накоплений'!F24))</f>
        <v/>
      </c>
      <c r="W56" s="46" t="str">
        <f>IF(U56="","",ROUND(X55*'Навигатор накоплений'!D24*IF(YEAR(U56)=YEAR(V56-1),(V56-U56)/(DATE(YEAR(U56),12,31)-DATE(YEAR(U56),1,1)+1),(DATE(YEAR(U56)+1,1,1)-U56)/(DATE(YEAR(U56),12,31)-DATE(YEAR(U56),1,1)+1)+(V56-DATE(YEAR(V56),1,1))/(DATE(YEAR(V56),12,31)-DATE(YEAR(V56),1,1)+1)),2))</f>
        <v/>
      </c>
      <c r="X56" s="46" t="str">
        <f>IF(U56="","",ROUND(X55+W56+IF(V56&lt;'Навигатор накоплений'!F24,N('Навигатор накоплений'!G24),0),2))</f>
        <v/>
      </c>
      <c r="Z56" s="45" t="str">
        <f>IF('Навигатор накоплений'!A25="","",IF(50&lt;=DATEDIF('Навигатор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накоплений'!F25,1,0),AA55,""))</f>
        <v/>
      </c>
      <c r="AA56" s="45" t="str">
        <f>IF(Z56="","",MIN(EDATE('Навигатор накоплений'!E25,50),'Навигатор накоплений'!F25))</f>
        <v/>
      </c>
      <c r="AB56" s="46" t="str">
        <f>IF(Z56="","",ROUND(AC55*'Навигатор накоплений'!D25*IF(YEAR(Z56)=YEAR(AA56-1),(AA56-Z56)/(DATE(YEAR(Z56),12,31)-DATE(YEAR(Z56),1,1)+1),(DATE(YEAR(Z56)+1,1,1)-Z56)/(DATE(YEAR(Z56),12,31)-DATE(YEAR(Z56),1,1)+1)+(AA56-DATE(YEAR(AA56),1,1))/(DATE(YEAR(AA56),12,31)-DATE(YEAR(AA56),1,1)+1)),2))</f>
        <v/>
      </c>
      <c r="AC56" s="46" t="str">
        <f>IF(Z56="","",ROUND(AC55+AB56+IF(AA56&lt;'Навигатор накоплений'!F25,N('Навигатор накоплений'!G25),0),2))</f>
        <v/>
      </c>
      <c r="AE56" t="str">
        <f>IF('Навигатор накоплений'!A26="","",IF(50&lt;=DATEDIF('Навигатор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накоплений'!F26,1,0),AF55,""))</f>
        <v/>
      </c>
      <c r="AF56" t="str">
        <f>IF(AE56="","",MIN(EDATE('Навигатор накоплений'!E26,50),'Навигатор накоплений'!F26))</f>
        <v/>
      </c>
      <c r="AG56" t="str">
        <f>IF(AE56="","",ROUND(AH55*'Навигатор накоплений'!D26*IF(YEAR(AE56)=YEAR(AF56-1),(AF56-AE56)/(DATE(YEAR(AE56),12,31)-DATE(YEAR(AE56),1,1)+1),(DATE(YEAR(AE56)+1,1,1)-AE56)/(DATE(YEAR(AE56),12,31)-DATE(YEAR(AE56),1,1)+1)+(AF56-DATE(YEAR(AF56),1,1))/(DATE(YEAR(AF56),12,31)-DATE(YEAR(AF56),1,1)+1)),2))</f>
        <v/>
      </c>
      <c r="AH56" t="str">
        <f>IF(AE56="","",ROUND(AH55+AG56+IF(AF56&lt;'Навигатор накоплений'!F26,N('Навигатор накоплений'!G26),0),2))</f>
        <v/>
      </c>
      <c r="AJ56" t="str">
        <f>IF('Навигатор накоплений'!A27="","",IF(50&lt;=DATEDIF('Навигатор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накоплений'!F27,1,0),AK55,""))</f>
        <v/>
      </c>
      <c r="AK56" t="str">
        <f>IF(AJ56="","",MIN(EDATE('Навигатор накоплений'!E27,50),'Навигатор накоплений'!F27))</f>
        <v/>
      </c>
      <c r="AL56" t="str">
        <f>IF(AJ56="","",ROUND(AM55*'Навигатор накоплений'!D27*IF(YEAR(AJ56)=YEAR(AK56-1),(AK56-AJ56)/(DATE(YEAR(AJ56),12,31)-DATE(YEAR(AJ56),1,1)+1),(DATE(YEAR(AJ56)+1,1,1)-AJ56)/(DATE(YEAR(AJ56),12,31)-DATE(YEAR(AJ56),1,1)+1)+(AK56-DATE(YEAR(AK56),1,1))/(DATE(YEAR(AK56),12,31)-DATE(YEAR(AK56),1,1)+1)),2))</f>
        <v/>
      </c>
      <c r="AM56" t="str">
        <f>IF(AJ56="","",ROUND(AM55+AL56+IF(AK56&lt;'Навигатор накоплений'!F27,N('Навигатор накоплений'!G27),0),2))</f>
        <v/>
      </c>
      <c r="AO56" t="str">
        <f>IF('Навигатор накоплений'!A28="","",IF(50&lt;=DATEDIF('Навигатор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накоплений'!F28,1,0),AP55,""))</f>
        <v/>
      </c>
      <c r="AP56" t="str">
        <f>IF(AO56="","",MIN(EDATE('Навигатор накоплений'!E28,50),'Навигатор накоплений'!F28))</f>
        <v/>
      </c>
      <c r="AQ56" t="str">
        <f>IF(AO56="","",ROUND(AR55*'Навигатор накоплений'!D28*IF(YEAR(AO56)=YEAR(AP56-1),(AP56-AO56)/(DATE(YEAR(AO56),12,31)-DATE(YEAR(AO56),1,1)+1),(DATE(YEAR(AO56)+1,1,1)-AO56)/(DATE(YEAR(AO56),12,31)-DATE(YEAR(AO56),1,1)+1)+(AP56-DATE(YEAR(AP56),1,1))/(DATE(YEAR(AP56),12,31)-DATE(YEAR(AP56),1,1)+1)),2))</f>
        <v/>
      </c>
      <c r="AR56" t="str">
        <f>IF(AO56="","",ROUND(AR55+AQ56+IF(AP56&lt;'Навигатор накоплений'!F28,N('Навигатор накоплений'!G28),0),2))</f>
        <v/>
      </c>
      <c r="AT56">
        <f t="shared" si="20"/>
        <v>0</v>
      </c>
      <c r="AU56">
        <f t="shared" si="21"/>
        <v>0</v>
      </c>
      <c r="AV56">
        <f t="shared" si="22"/>
        <v>0</v>
      </c>
      <c r="AW56">
        <f t="shared" si="23"/>
        <v>0</v>
      </c>
      <c r="AX56">
        <f t="shared" si="24"/>
        <v>0</v>
      </c>
      <c r="AY56">
        <f t="shared" si="25"/>
        <v>0</v>
      </c>
      <c r="AZ56">
        <f t="shared" si="26"/>
        <v>0</v>
      </c>
      <c r="BA56"/>
      <c r="BB56"/>
      <c r="BD56"/>
      <c r="BE56"/>
      <c r="BF56"/>
      <c r="BG56"/>
    </row>
    <row r="57" spans="1:59" ht="15" x14ac:dyDescent="0.2">
      <c r="K57" s="45" t="str">
        <f>IF('Навигатор накоплений'!A22="","",IF(51&lt;=DATEDIF('Навигатор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накоплений'!F22,1,0),L56,""))</f>
        <v/>
      </c>
      <c r="L57" s="45" t="str">
        <f>IF(K57="","",MIN(EDATE('Навигатор накоплений'!E22,51),'Навигатор накоплений'!F22))</f>
        <v/>
      </c>
      <c r="M57" s="46" t="str">
        <f>IF(K57="","",ROUND(N56*'Навигатор накоплений'!D22*IF(YEAR(K57)=YEAR(L57-1),(L57-K57)/(DATE(YEAR(K57),12,31)-DATE(YEAR(K57),1,1)+1),(DATE(YEAR(K57)+1,1,1)-K57)/(DATE(YEAR(K57),12,31)-DATE(YEAR(K57),1,1)+1)+(L57-DATE(YEAR(L57),1,1))/(DATE(YEAR(L57),12,31)-DATE(YEAR(L57),1,1)+1)),2))</f>
        <v/>
      </c>
      <c r="N57" s="46" t="str">
        <f>IF(K57="","",ROUND(N56+M57+IF(L57&lt;'Навигатор накоплений'!F22,N('Навигатор накоплений'!G22),0),2))</f>
        <v/>
      </c>
      <c r="P57" s="45" t="str">
        <f>IF('Навигатор накоплений'!A23="","",IF(51&lt;=DATEDIF('Навигатор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накоплений'!F23,1,0),Q56,""))</f>
        <v/>
      </c>
      <c r="Q57" s="45" t="str">
        <f>IF(P57="","",MIN(EDATE('Навигатор накоплений'!E23,51),'Навигатор накоплений'!F23))</f>
        <v/>
      </c>
      <c r="R57" s="46" t="str">
        <f>IF(P57="","",ROUND(S56*'Навигатор накоплений'!D23*IF(YEAR(P57)=YEAR(Q57-1),(Q57-P57)/(DATE(YEAR(P57),12,31)-DATE(YEAR(P57),1,1)+1),(DATE(YEAR(P57)+1,1,1)-P57)/(DATE(YEAR(P57),12,31)-DATE(YEAR(P57),1,1)+1)+(Q57-DATE(YEAR(Q57),1,1))/(DATE(YEAR(Q57),12,31)-DATE(YEAR(Q57),1,1)+1)),2))</f>
        <v/>
      </c>
      <c r="S57" s="46" t="str">
        <f>IF(P57="","",ROUND(S56+R57+IF(Q57&lt;'Навигатор накоплений'!F23,N('Навигатор накоплений'!G23),0),2))</f>
        <v/>
      </c>
      <c r="U57" s="45" t="str">
        <f>IF('Навигатор накоплений'!A24="","",IF(51&lt;=DATEDIF('Навигатор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накоплений'!F24,1,0),V56,""))</f>
        <v/>
      </c>
      <c r="V57" s="45" t="str">
        <f>IF(U57="","",MIN(EDATE('Навигатор накоплений'!E24,51),'Навигатор накоплений'!F24))</f>
        <v/>
      </c>
      <c r="W57" s="46" t="str">
        <f>IF(U57="","",ROUND(X56*'Навигатор накоплений'!D24*IF(YEAR(U57)=YEAR(V57-1),(V57-U57)/(DATE(YEAR(U57),12,31)-DATE(YEAR(U57),1,1)+1),(DATE(YEAR(U57)+1,1,1)-U57)/(DATE(YEAR(U57),12,31)-DATE(YEAR(U57),1,1)+1)+(V57-DATE(YEAR(V57),1,1))/(DATE(YEAR(V57),12,31)-DATE(YEAR(V57),1,1)+1)),2))</f>
        <v/>
      </c>
      <c r="X57" s="46" t="str">
        <f>IF(U57="","",ROUND(X56+W57+IF(V57&lt;'Навигатор накоплений'!F24,N('Навигатор накоплений'!G24),0),2))</f>
        <v/>
      </c>
      <c r="Z57" s="45" t="str">
        <f>IF('Навигатор накоплений'!A25="","",IF(51&lt;=DATEDIF('Навигатор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накоплений'!F25,1,0),AA56,""))</f>
        <v/>
      </c>
      <c r="AA57" s="45" t="str">
        <f>IF(Z57="","",MIN(EDATE('Навигатор накоплений'!E25,51),'Навигатор накоплений'!F25))</f>
        <v/>
      </c>
      <c r="AB57" s="46" t="str">
        <f>IF(Z57="","",ROUND(AC56*'Навигатор накоплений'!D25*IF(YEAR(Z57)=YEAR(AA57-1),(AA57-Z57)/(DATE(YEAR(Z57),12,31)-DATE(YEAR(Z57),1,1)+1),(DATE(YEAR(Z57)+1,1,1)-Z57)/(DATE(YEAR(Z57),12,31)-DATE(YEAR(Z57),1,1)+1)+(AA57-DATE(YEAR(AA57),1,1))/(DATE(YEAR(AA57),12,31)-DATE(YEAR(AA57),1,1)+1)),2))</f>
        <v/>
      </c>
      <c r="AC57" s="46" t="str">
        <f>IF(Z57="","",ROUND(AC56+AB57+IF(AA57&lt;'Навигатор накоплений'!F25,N('Навигатор накоплений'!G25),0),2))</f>
        <v/>
      </c>
      <c r="AE57" t="str">
        <f>IF('Навигатор накоплений'!A26="","",IF(51&lt;=DATEDIF('Навигатор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накоплений'!F26,1,0),AF56,""))</f>
        <v/>
      </c>
      <c r="AF57" t="str">
        <f>IF(AE57="","",MIN(EDATE('Навигатор накоплений'!E26,51),'Навигатор накоплений'!F26))</f>
        <v/>
      </c>
      <c r="AG57" t="str">
        <f>IF(AE57="","",ROUND(AH56*'Навигатор накоплений'!D26*IF(YEAR(AE57)=YEAR(AF57-1),(AF57-AE57)/(DATE(YEAR(AE57),12,31)-DATE(YEAR(AE57),1,1)+1),(DATE(YEAR(AE57)+1,1,1)-AE57)/(DATE(YEAR(AE57),12,31)-DATE(YEAR(AE57),1,1)+1)+(AF57-DATE(YEAR(AF57),1,1))/(DATE(YEAR(AF57),12,31)-DATE(YEAR(AF57),1,1)+1)),2))</f>
        <v/>
      </c>
      <c r="AH57" t="str">
        <f>IF(AE57="","",ROUND(AH56+AG57+IF(AF57&lt;'Навигатор накоплений'!F26,N('Навигатор накоплений'!G26),0),2))</f>
        <v/>
      </c>
      <c r="AJ57" t="str">
        <f>IF('Навигатор накоплений'!A27="","",IF(51&lt;=DATEDIF('Навигатор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накоплений'!F27,1,0),AK56,""))</f>
        <v/>
      </c>
      <c r="AK57" t="str">
        <f>IF(AJ57="","",MIN(EDATE('Навигатор накоплений'!E27,51),'Навигатор накоплений'!F27))</f>
        <v/>
      </c>
      <c r="AL57" t="str">
        <f>IF(AJ57="","",ROUND(AM56*'Навигатор накоплений'!D27*IF(YEAR(AJ57)=YEAR(AK57-1),(AK57-AJ57)/(DATE(YEAR(AJ57),12,31)-DATE(YEAR(AJ57),1,1)+1),(DATE(YEAR(AJ57)+1,1,1)-AJ57)/(DATE(YEAR(AJ57),12,31)-DATE(YEAR(AJ57),1,1)+1)+(AK57-DATE(YEAR(AK57),1,1))/(DATE(YEAR(AK57),12,31)-DATE(YEAR(AK57),1,1)+1)),2))</f>
        <v/>
      </c>
      <c r="AM57" t="str">
        <f>IF(AJ57="","",ROUND(AM56+AL57+IF(AK57&lt;'Навигатор накоплений'!F27,N('Навигатор накоплений'!G27),0),2))</f>
        <v/>
      </c>
      <c r="AO57" t="str">
        <f>IF('Навигатор накоплений'!A28="","",IF(51&lt;=DATEDIF('Навигатор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накоплений'!F28,1,0),AP56,""))</f>
        <v/>
      </c>
      <c r="AP57" t="str">
        <f>IF(AO57="","",MIN(EDATE('Навигатор накоплений'!E28,51),'Навигатор накоплений'!F28))</f>
        <v/>
      </c>
      <c r="AQ57" t="str">
        <f>IF(AO57="","",ROUND(AR56*'Навигатор накоплений'!D28*IF(YEAR(AO57)=YEAR(AP57-1),(AP57-AO57)/(DATE(YEAR(AO57),12,31)-DATE(YEAR(AO57),1,1)+1),(DATE(YEAR(AO57)+1,1,1)-AO57)/(DATE(YEAR(AO57),12,31)-DATE(YEAR(AO57),1,1)+1)+(AP57-DATE(YEAR(AP57),1,1))/(DATE(YEAR(AP57),12,31)-DATE(YEAR(AP57),1,1)+1)),2))</f>
        <v/>
      </c>
      <c r="AR57" t="str">
        <f>IF(AO57="","",ROUND(AR56+AQ57+IF(AP57&lt;'Навигатор накоплений'!F28,N('Навигатор накоплений'!G28),0),2))</f>
        <v/>
      </c>
      <c r="AT57">
        <f t="shared" si="20"/>
        <v>0</v>
      </c>
      <c r="AU57">
        <f t="shared" si="21"/>
        <v>0</v>
      </c>
      <c r="AV57">
        <f t="shared" si="22"/>
        <v>0</v>
      </c>
      <c r="AW57">
        <f t="shared" si="23"/>
        <v>0</v>
      </c>
      <c r="AX57">
        <f t="shared" si="24"/>
        <v>0</v>
      </c>
      <c r="AY57">
        <f t="shared" si="25"/>
        <v>0</v>
      </c>
      <c r="AZ57">
        <f t="shared" si="26"/>
        <v>0</v>
      </c>
      <c r="BA57"/>
      <c r="BB57"/>
      <c r="BD57"/>
      <c r="BE57"/>
      <c r="BF57"/>
      <c r="BG57"/>
    </row>
    <row r="58" spans="1:59" ht="15" x14ac:dyDescent="0.2">
      <c r="K58" s="45" t="str">
        <f>IF('Навигатор накоплений'!A22="","",IF(52&lt;=DATEDIF('Навигатор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накоплений'!F22,1,0),L57,""))</f>
        <v/>
      </c>
      <c r="L58" s="45" t="str">
        <f>IF(K58="","",MIN(EDATE('Навигатор накоплений'!E22,52),'Навигатор накоплений'!F22))</f>
        <v/>
      </c>
      <c r="M58" s="46" t="str">
        <f>IF(K58="","",ROUND(N57*'Навигатор накоплений'!D22*IF(YEAR(K58)=YEAR(L58-1),(L58-K58)/(DATE(YEAR(K58),12,31)-DATE(YEAR(K58),1,1)+1),(DATE(YEAR(K58)+1,1,1)-K58)/(DATE(YEAR(K58),12,31)-DATE(YEAR(K58),1,1)+1)+(L58-DATE(YEAR(L58),1,1))/(DATE(YEAR(L58),12,31)-DATE(YEAR(L58),1,1)+1)),2))</f>
        <v/>
      </c>
      <c r="N58" s="46" t="str">
        <f>IF(K58="","",ROUND(N57+M58+IF(L58&lt;'Навигатор накоплений'!F22,N('Навигатор накоплений'!G22),0),2))</f>
        <v/>
      </c>
      <c r="P58" s="45" t="str">
        <f>IF('Навигатор накоплений'!A23="","",IF(52&lt;=DATEDIF('Навигатор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накоплений'!F23,1,0),Q57,""))</f>
        <v/>
      </c>
      <c r="Q58" s="45" t="str">
        <f>IF(P58="","",MIN(EDATE('Навигатор накоплений'!E23,52),'Навигатор накоплений'!F23))</f>
        <v/>
      </c>
      <c r="R58" s="46" t="str">
        <f>IF(P58="","",ROUND(S57*'Навигатор накоплений'!D23*IF(YEAR(P58)=YEAR(Q58-1),(Q58-P58)/(DATE(YEAR(P58),12,31)-DATE(YEAR(P58),1,1)+1),(DATE(YEAR(P58)+1,1,1)-P58)/(DATE(YEAR(P58),12,31)-DATE(YEAR(P58),1,1)+1)+(Q58-DATE(YEAR(Q58),1,1))/(DATE(YEAR(Q58),12,31)-DATE(YEAR(Q58),1,1)+1)),2))</f>
        <v/>
      </c>
      <c r="S58" s="46" t="str">
        <f>IF(P58="","",ROUND(S57+R58+IF(Q58&lt;'Навигатор накоплений'!F23,N('Навигатор накоплений'!G23),0),2))</f>
        <v/>
      </c>
      <c r="U58" s="45" t="str">
        <f>IF('Навигатор накоплений'!A24="","",IF(52&lt;=DATEDIF('Навигатор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накоплений'!F24,1,0),V57,""))</f>
        <v/>
      </c>
      <c r="V58" s="45" t="str">
        <f>IF(U58="","",MIN(EDATE('Навигатор накоплений'!E24,52),'Навигатор накоплений'!F24))</f>
        <v/>
      </c>
      <c r="W58" s="46" t="str">
        <f>IF(U58="","",ROUND(X57*'Навигатор накоплений'!D24*IF(YEAR(U58)=YEAR(V58-1),(V58-U58)/(DATE(YEAR(U58),12,31)-DATE(YEAR(U58),1,1)+1),(DATE(YEAR(U58)+1,1,1)-U58)/(DATE(YEAR(U58),12,31)-DATE(YEAR(U58),1,1)+1)+(V58-DATE(YEAR(V58),1,1))/(DATE(YEAR(V58),12,31)-DATE(YEAR(V58),1,1)+1)),2))</f>
        <v/>
      </c>
      <c r="X58" s="46" t="str">
        <f>IF(U58="","",ROUND(X57+W58+IF(V58&lt;'Навигатор накоплений'!F24,N('Навигатор накоплений'!G24),0),2))</f>
        <v/>
      </c>
      <c r="Z58" s="45" t="str">
        <f>IF('Навигатор накоплений'!A25="","",IF(52&lt;=DATEDIF('Навигатор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накоплений'!F25,1,0),AA57,""))</f>
        <v/>
      </c>
      <c r="AA58" s="45" t="str">
        <f>IF(Z58="","",MIN(EDATE('Навигатор накоплений'!E25,52),'Навигатор накоплений'!F25))</f>
        <v/>
      </c>
      <c r="AB58" s="46" t="str">
        <f>IF(Z58="","",ROUND(AC57*'Навигатор накоплений'!D25*IF(YEAR(Z58)=YEAR(AA58-1),(AA58-Z58)/(DATE(YEAR(Z58),12,31)-DATE(YEAR(Z58),1,1)+1),(DATE(YEAR(Z58)+1,1,1)-Z58)/(DATE(YEAR(Z58),12,31)-DATE(YEAR(Z58),1,1)+1)+(AA58-DATE(YEAR(AA58),1,1))/(DATE(YEAR(AA58),12,31)-DATE(YEAR(AA58),1,1)+1)),2))</f>
        <v/>
      </c>
      <c r="AC58" s="46" t="str">
        <f>IF(Z58="","",ROUND(AC57+AB58+IF(AA58&lt;'Навигатор накоплений'!F25,N('Навигатор накоплений'!G25),0),2))</f>
        <v/>
      </c>
      <c r="AE58" t="str">
        <f>IF('Навигатор накоплений'!A26="","",IF(52&lt;=DATEDIF('Навигатор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накоплений'!F26,1,0),AF57,""))</f>
        <v/>
      </c>
      <c r="AF58" t="str">
        <f>IF(AE58="","",MIN(EDATE('Навигатор накоплений'!E26,52),'Навигатор накоплений'!F26))</f>
        <v/>
      </c>
      <c r="AG58" t="str">
        <f>IF(AE58="","",ROUND(AH57*'Навигатор накоплений'!D26*IF(YEAR(AE58)=YEAR(AF58-1),(AF58-AE58)/(DATE(YEAR(AE58),12,31)-DATE(YEAR(AE58),1,1)+1),(DATE(YEAR(AE58)+1,1,1)-AE58)/(DATE(YEAR(AE58),12,31)-DATE(YEAR(AE58),1,1)+1)+(AF58-DATE(YEAR(AF58),1,1))/(DATE(YEAR(AF58),12,31)-DATE(YEAR(AF58),1,1)+1)),2))</f>
        <v/>
      </c>
      <c r="AH58" t="str">
        <f>IF(AE58="","",ROUND(AH57+AG58+IF(AF58&lt;'Навигатор накоплений'!F26,N('Навигатор накоплений'!G26),0),2))</f>
        <v/>
      </c>
      <c r="AJ58" t="str">
        <f>IF('Навигатор накоплений'!A27="","",IF(52&lt;=DATEDIF('Навигатор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накоплений'!F27,1,0),AK57,""))</f>
        <v/>
      </c>
      <c r="AK58" t="str">
        <f>IF(AJ58="","",MIN(EDATE('Навигатор накоплений'!E27,52),'Навигатор накоплений'!F27))</f>
        <v/>
      </c>
      <c r="AL58" t="str">
        <f>IF(AJ58="","",ROUND(AM57*'Навигатор накоплений'!D27*IF(YEAR(AJ58)=YEAR(AK58-1),(AK58-AJ58)/(DATE(YEAR(AJ58),12,31)-DATE(YEAR(AJ58),1,1)+1),(DATE(YEAR(AJ58)+1,1,1)-AJ58)/(DATE(YEAR(AJ58),12,31)-DATE(YEAR(AJ58),1,1)+1)+(AK58-DATE(YEAR(AK58),1,1))/(DATE(YEAR(AK58),12,31)-DATE(YEAR(AK58),1,1)+1)),2))</f>
        <v/>
      </c>
      <c r="AM58" t="str">
        <f>IF(AJ58="","",ROUND(AM57+AL58+IF(AK58&lt;'Навигатор накоплений'!F27,N('Навигатор накоплений'!G27),0),2))</f>
        <v/>
      </c>
      <c r="AO58" t="str">
        <f>IF('Навигатор накоплений'!A28="","",IF(52&lt;=DATEDIF('Навигатор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накоплений'!F28,1,0),AP57,""))</f>
        <v/>
      </c>
      <c r="AP58" t="str">
        <f>IF(AO58="","",MIN(EDATE('Навигатор накоплений'!E28,52),'Навигатор накоплений'!F28))</f>
        <v/>
      </c>
      <c r="AQ58" t="str">
        <f>IF(AO58="","",ROUND(AR57*'Навигатор накоплений'!D28*IF(YEAR(AO58)=YEAR(AP58-1),(AP58-AO58)/(DATE(YEAR(AO58),12,31)-DATE(YEAR(AO58),1,1)+1),(DATE(YEAR(AO58)+1,1,1)-AO58)/(DATE(YEAR(AO58),12,31)-DATE(YEAR(AO58),1,1)+1)+(AP58-DATE(YEAR(AP58),1,1))/(DATE(YEAR(AP58),12,31)-DATE(YEAR(AP58),1,1)+1)),2))</f>
        <v/>
      </c>
      <c r="AR58" t="str">
        <f>IF(AO58="","",ROUND(AR57+AQ58+IF(AP58&lt;'Навигатор накоплений'!F28,N('Навигатор накоплений'!G28),0),2))</f>
        <v/>
      </c>
      <c r="AT58">
        <f t="shared" si="20"/>
        <v>0</v>
      </c>
      <c r="AU58">
        <f t="shared" si="21"/>
        <v>0</v>
      </c>
      <c r="AV58">
        <f t="shared" si="22"/>
        <v>0</v>
      </c>
      <c r="AW58">
        <f t="shared" si="23"/>
        <v>0</v>
      </c>
      <c r="AX58">
        <f t="shared" si="24"/>
        <v>0</v>
      </c>
      <c r="AY58">
        <f t="shared" si="25"/>
        <v>0</v>
      </c>
      <c r="AZ58">
        <f t="shared" si="26"/>
        <v>0</v>
      </c>
      <c r="BA58"/>
      <c r="BB58"/>
      <c r="BD58"/>
      <c r="BE58"/>
      <c r="BF58"/>
      <c r="BG58"/>
    </row>
    <row r="59" spans="1:59" ht="15" x14ac:dyDescent="0.2">
      <c r="A59" s="100" t="str">
        <f>IF('Навигатор накоплений'!A34="","Счет не заполнен","Счет: "&amp;'Навигатор накоплений'!A34&amp;" — "&amp;'Навигатор накоплений'!B34)</f>
        <v>Счет не заполнен</v>
      </c>
      <c r="B59" s="100"/>
      <c r="C59" s="100"/>
      <c r="D59" s="100"/>
      <c r="E59" s="100"/>
      <c r="F59" s="100"/>
      <c r="G59" s="100"/>
      <c r="H59" s="100"/>
      <c r="I59" s="100"/>
      <c r="K59" s="45" t="str">
        <f>IF('Навигатор накоплений'!A22="","",IF(53&lt;=DATEDIF('Навигатор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накоплений'!F22,1,0),L58,""))</f>
        <v/>
      </c>
      <c r="L59" s="45" t="str">
        <f>IF(K59="","",MIN(EDATE('Навигатор накоплений'!E22,53),'Навигатор накоплений'!F22))</f>
        <v/>
      </c>
      <c r="M59" s="46" t="str">
        <f>IF(K59="","",ROUND(N58*'Навигатор накоплений'!D22*IF(YEAR(K59)=YEAR(L59-1),(L59-K59)/(DATE(YEAR(K59),12,31)-DATE(YEAR(K59),1,1)+1),(DATE(YEAR(K59)+1,1,1)-K59)/(DATE(YEAR(K59),12,31)-DATE(YEAR(K59),1,1)+1)+(L59-DATE(YEAR(L59),1,1))/(DATE(YEAR(L59),12,31)-DATE(YEAR(L59),1,1)+1)),2))</f>
        <v/>
      </c>
      <c r="N59" s="46" t="str">
        <f>IF(K59="","",ROUND(N58+M59+IF(L59&lt;'Навигатор накоплений'!F22,N('Навигатор накоплений'!G22),0),2))</f>
        <v/>
      </c>
      <c r="P59" s="45" t="str">
        <f>IF('Навигатор накоплений'!A23="","",IF(53&lt;=DATEDIF('Навигатор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накоплений'!F23,1,0),Q58,""))</f>
        <v/>
      </c>
      <c r="Q59" s="45" t="str">
        <f>IF(P59="","",MIN(EDATE('Навигатор накоплений'!E23,53),'Навигатор накоплений'!F23))</f>
        <v/>
      </c>
      <c r="R59" s="46" t="str">
        <f>IF(P59="","",ROUND(S58*'Навигатор накоплений'!D23*IF(YEAR(P59)=YEAR(Q59-1),(Q59-P59)/(DATE(YEAR(P59),12,31)-DATE(YEAR(P59),1,1)+1),(DATE(YEAR(P59)+1,1,1)-P59)/(DATE(YEAR(P59),12,31)-DATE(YEAR(P59),1,1)+1)+(Q59-DATE(YEAR(Q59),1,1))/(DATE(YEAR(Q59),12,31)-DATE(YEAR(Q59),1,1)+1)),2))</f>
        <v/>
      </c>
      <c r="S59" s="46" t="str">
        <f>IF(P59="","",ROUND(S58+R59+IF(Q59&lt;'Навигатор накоплений'!F23,N('Навигатор накоплений'!G23),0),2))</f>
        <v/>
      </c>
      <c r="U59" s="45" t="str">
        <f>IF('Навигатор накоплений'!A24="","",IF(53&lt;=DATEDIF('Навигатор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накоплений'!F24,1,0),V58,""))</f>
        <v/>
      </c>
      <c r="V59" s="45" t="str">
        <f>IF(U59="","",MIN(EDATE('Навигатор накоплений'!E24,53),'Навигатор накоплений'!F24))</f>
        <v/>
      </c>
      <c r="W59" s="46" t="str">
        <f>IF(U59="","",ROUND(X58*'Навигатор накоплений'!D24*IF(YEAR(U59)=YEAR(V59-1),(V59-U59)/(DATE(YEAR(U59),12,31)-DATE(YEAR(U59),1,1)+1),(DATE(YEAR(U59)+1,1,1)-U59)/(DATE(YEAR(U59),12,31)-DATE(YEAR(U59),1,1)+1)+(V59-DATE(YEAR(V59),1,1))/(DATE(YEAR(V59),12,31)-DATE(YEAR(V59),1,1)+1)),2))</f>
        <v/>
      </c>
      <c r="X59" s="46" t="str">
        <f>IF(U59="","",ROUND(X58+W59+IF(V59&lt;'Навигатор накоплений'!F24,N('Навигатор накоплений'!G24),0),2))</f>
        <v/>
      </c>
      <c r="Z59" s="45" t="str">
        <f>IF('Навигатор накоплений'!A25="","",IF(53&lt;=DATEDIF('Навигатор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накоплений'!F25,1,0),AA58,""))</f>
        <v/>
      </c>
      <c r="AA59" s="45" t="str">
        <f>IF(Z59="","",MIN(EDATE('Навигатор накоплений'!E25,53),'Навигатор накоплений'!F25))</f>
        <v/>
      </c>
      <c r="AB59" s="46" t="str">
        <f>IF(Z59="","",ROUND(AC58*'Навигатор накоплений'!D25*IF(YEAR(Z59)=YEAR(AA59-1),(AA59-Z59)/(DATE(YEAR(Z59),12,31)-DATE(YEAR(Z59),1,1)+1),(DATE(YEAR(Z59)+1,1,1)-Z59)/(DATE(YEAR(Z59),12,31)-DATE(YEAR(Z59),1,1)+1)+(AA59-DATE(YEAR(AA59),1,1))/(DATE(YEAR(AA59),12,31)-DATE(YEAR(AA59),1,1)+1)),2))</f>
        <v/>
      </c>
      <c r="AC59" s="46" t="str">
        <f>IF(Z59="","",ROUND(AC58+AB59+IF(AA59&lt;'Навигатор накоплений'!F25,N('Навигатор накоплений'!G25),0),2))</f>
        <v/>
      </c>
      <c r="AE59" t="str">
        <f>IF('Навигатор накоплений'!A26="","",IF(53&lt;=DATEDIF('Навигатор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накоплений'!F26,1,0),AF58,""))</f>
        <v/>
      </c>
      <c r="AF59" t="str">
        <f>IF(AE59="","",MIN(EDATE('Навигатор накоплений'!E26,53),'Навигатор накоплений'!F26))</f>
        <v/>
      </c>
      <c r="AG59" t="str">
        <f>IF(AE59="","",ROUND(AH58*'Навигатор накоплений'!D26*IF(YEAR(AE59)=YEAR(AF59-1),(AF59-AE59)/(DATE(YEAR(AE59),12,31)-DATE(YEAR(AE59),1,1)+1),(DATE(YEAR(AE59)+1,1,1)-AE59)/(DATE(YEAR(AE59),12,31)-DATE(YEAR(AE59),1,1)+1)+(AF59-DATE(YEAR(AF59),1,1))/(DATE(YEAR(AF59),12,31)-DATE(YEAR(AF59),1,1)+1)),2))</f>
        <v/>
      </c>
      <c r="AH59" t="str">
        <f>IF(AE59="","",ROUND(AH58+AG59+IF(AF59&lt;'Навигатор накоплений'!F26,N('Навигатор накоплений'!G26),0),2))</f>
        <v/>
      </c>
      <c r="AJ59" t="str">
        <f>IF('Навигатор накоплений'!A27="","",IF(53&lt;=DATEDIF('Навигатор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накоплений'!F27,1,0),AK58,""))</f>
        <v/>
      </c>
      <c r="AK59" t="str">
        <f>IF(AJ59="","",MIN(EDATE('Навигатор накоплений'!E27,53),'Навигатор накоплений'!F27))</f>
        <v/>
      </c>
      <c r="AL59" t="str">
        <f>IF(AJ59="","",ROUND(AM58*'Навигатор накоплений'!D27*IF(YEAR(AJ59)=YEAR(AK59-1),(AK59-AJ59)/(DATE(YEAR(AJ59),12,31)-DATE(YEAR(AJ59),1,1)+1),(DATE(YEAR(AJ59)+1,1,1)-AJ59)/(DATE(YEAR(AJ59),12,31)-DATE(YEAR(AJ59),1,1)+1)+(AK59-DATE(YEAR(AK59),1,1))/(DATE(YEAR(AK59),12,31)-DATE(YEAR(AK59),1,1)+1)),2))</f>
        <v/>
      </c>
      <c r="AM59" t="str">
        <f>IF(AJ59="","",ROUND(AM58+AL59+IF(AK59&lt;'Навигатор накоплений'!F27,N('Навигатор накоплений'!G27),0),2))</f>
        <v/>
      </c>
      <c r="AO59" t="str">
        <f>IF('Навигатор накоплений'!A28="","",IF(53&lt;=DATEDIF('Навигатор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накоплений'!F28,1,0),AP58,""))</f>
        <v/>
      </c>
      <c r="AP59" t="str">
        <f>IF(AO59="","",MIN(EDATE('Навигатор накоплений'!E28,53),'Навигатор накоплений'!F28))</f>
        <v/>
      </c>
      <c r="AQ59" t="str">
        <f>IF(AO59="","",ROUND(AR58*'Навигатор накоплений'!D28*IF(YEAR(AO59)=YEAR(AP59-1),(AP59-AO59)/(DATE(YEAR(AO59),12,31)-DATE(YEAR(AO59),1,1)+1),(DATE(YEAR(AO59)+1,1,1)-AO59)/(DATE(YEAR(AO59),12,31)-DATE(YEAR(AO59),1,1)+1)+(AP59-DATE(YEAR(AP59),1,1))/(DATE(YEAR(AP59),12,31)-DATE(YEAR(AP59),1,1)+1)),2))</f>
        <v/>
      </c>
      <c r="AR59" t="str">
        <f>IF(AO59="","",ROUND(AR58+AQ59+IF(AP59&lt;'Навигатор накоплений'!F28,N('Навигатор накоплений'!G28),0),2))</f>
        <v/>
      </c>
      <c r="AT59">
        <f t="shared" si="20"/>
        <v>0</v>
      </c>
      <c r="AU59">
        <f t="shared" si="21"/>
        <v>0</v>
      </c>
      <c r="AV59">
        <f t="shared" si="22"/>
        <v>0</v>
      </c>
      <c r="AW59">
        <f t="shared" si="23"/>
        <v>0</v>
      </c>
      <c r="AX59">
        <f t="shared" si="24"/>
        <v>0</v>
      </c>
      <c r="AY59">
        <f t="shared" si="25"/>
        <v>0</v>
      </c>
      <c r="AZ59">
        <f t="shared" si="26"/>
        <v>0</v>
      </c>
      <c r="BA59"/>
      <c r="BB59"/>
      <c r="BD59"/>
      <c r="BE59"/>
      <c r="BF59"/>
      <c r="BG59"/>
    </row>
    <row r="60" spans="1:59" ht="15" x14ac:dyDescent="0.2">
      <c r="A60" s="47" t="s">
        <v>53</v>
      </c>
      <c r="B60" s="47" t="s">
        <v>49</v>
      </c>
      <c r="C60" s="47" t="s">
        <v>50</v>
      </c>
      <c r="D60" s="47" t="s">
        <v>54</v>
      </c>
      <c r="E60" s="47" t="s">
        <v>55</v>
      </c>
      <c r="F60" s="47" t="s">
        <v>56</v>
      </c>
      <c r="G60" s="47" t="s">
        <v>57</v>
      </c>
      <c r="H60" s="47" t="s">
        <v>51</v>
      </c>
      <c r="I60" s="47" t="s">
        <v>52</v>
      </c>
      <c r="K60" s="45" t="str">
        <f>IF('Навигатор накоплений'!A22="","",IF(54&lt;=DATEDIF('Навигатор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накоплений'!F22,1,0),L59,""))</f>
        <v/>
      </c>
      <c r="L60" s="45" t="str">
        <f>IF(K60="","",MIN(EDATE('Навигатор накоплений'!E22,54),'Навигатор накоплений'!F22))</f>
        <v/>
      </c>
      <c r="M60" s="46" t="str">
        <f>IF(K60="","",ROUND(N59*'Навигатор накоплений'!D22*IF(YEAR(K60)=YEAR(L60-1),(L60-K60)/(DATE(YEAR(K60),12,31)-DATE(YEAR(K60),1,1)+1),(DATE(YEAR(K60)+1,1,1)-K60)/(DATE(YEAR(K60),12,31)-DATE(YEAR(K60),1,1)+1)+(L60-DATE(YEAR(L60),1,1))/(DATE(YEAR(L60),12,31)-DATE(YEAR(L60),1,1)+1)),2))</f>
        <v/>
      </c>
      <c r="N60" s="46" t="str">
        <f>IF(K60="","",ROUND(N59+M60+IF(L60&lt;'Навигатор накоплений'!F22,N('Навигатор накоплений'!G22),0),2))</f>
        <v/>
      </c>
      <c r="P60" s="45" t="str">
        <f>IF('Навигатор накоплений'!A23="","",IF(54&lt;=DATEDIF('Навигатор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накоплений'!F23,1,0),Q59,""))</f>
        <v/>
      </c>
      <c r="Q60" s="45" t="str">
        <f>IF(P60="","",MIN(EDATE('Навигатор накоплений'!E23,54),'Навигатор накоплений'!F23))</f>
        <v/>
      </c>
      <c r="R60" s="46" t="str">
        <f>IF(P60="","",ROUND(S59*'Навигатор накоплений'!D23*IF(YEAR(P60)=YEAR(Q60-1),(Q60-P60)/(DATE(YEAR(P60),12,31)-DATE(YEAR(P60),1,1)+1),(DATE(YEAR(P60)+1,1,1)-P60)/(DATE(YEAR(P60),12,31)-DATE(YEAR(P60),1,1)+1)+(Q60-DATE(YEAR(Q60),1,1))/(DATE(YEAR(Q60),12,31)-DATE(YEAR(Q60),1,1)+1)),2))</f>
        <v/>
      </c>
      <c r="S60" s="46" t="str">
        <f>IF(P60="","",ROUND(S59+R60+IF(Q60&lt;'Навигатор накоплений'!F23,N('Навигатор накоплений'!G23),0),2))</f>
        <v/>
      </c>
      <c r="U60" s="45" t="str">
        <f>IF('Навигатор накоплений'!A24="","",IF(54&lt;=DATEDIF('Навигатор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накоплений'!F24,1,0),V59,""))</f>
        <v/>
      </c>
      <c r="V60" s="45" t="str">
        <f>IF(U60="","",MIN(EDATE('Навигатор накоплений'!E24,54),'Навигатор накоплений'!F24))</f>
        <v/>
      </c>
      <c r="W60" s="46" t="str">
        <f>IF(U60="","",ROUND(X59*'Навигатор накоплений'!D24*IF(YEAR(U60)=YEAR(V60-1),(V60-U60)/(DATE(YEAR(U60),12,31)-DATE(YEAR(U60),1,1)+1),(DATE(YEAR(U60)+1,1,1)-U60)/(DATE(YEAR(U60),12,31)-DATE(YEAR(U60),1,1)+1)+(V60-DATE(YEAR(V60),1,1))/(DATE(YEAR(V60),12,31)-DATE(YEAR(V60),1,1)+1)),2))</f>
        <v/>
      </c>
      <c r="X60" s="46" t="str">
        <f>IF(U60="","",ROUND(X59+W60+IF(V60&lt;'Навигатор накоплений'!F24,N('Навигатор накоплений'!G24),0),2))</f>
        <v/>
      </c>
      <c r="Z60" s="45" t="str">
        <f>IF('Навигатор накоплений'!A25="","",IF(54&lt;=DATEDIF('Навигатор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накоплений'!F25,1,0),AA59,""))</f>
        <v/>
      </c>
      <c r="AA60" s="45" t="str">
        <f>IF(Z60="","",MIN(EDATE('Навигатор накоплений'!E25,54),'Навигатор накоплений'!F25))</f>
        <v/>
      </c>
      <c r="AB60" s="46" t="str">
        <f>IF(Z60="","",ROUND(AC59*'Навигатор накоплений'!D25*IF(YEAR(Z60)=YEAR(AA60-1),(AA60-Z60)/(DATE(YEAR(Z60),12,31)-DATE(YEAR(Z60),1,1)+1),(DATE(YEAR(Z60)+1,1,1)-Z60)/(DATE(YEAR(Z60),12,31)-DATE(YEAR(Z60),1,1)+1)+(AA60-DATE(YEAR(AA60),1,1))/(DATE(YEAR(AA60),12,31)-DATE(YEAR(AA60),1,1)+1)),2))</f>
        <v/>
      </c>
      <c r="AC60" s="46" t="str">
        <f>IF(Z60="","",ROUND(AC59+AB60+IF(AA60&lt;'Навигатор накоплений'!F25,N('Навигатор накоплений'!G25),0),2))</f>
        <v/>
      </c>
      <c r="AE60" t="str">
        <f>IF('Навигатор накоплений'!A26="","",IF(54&lt;=DATEDIF('Навигатор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накоплений'!F26,1,0),AF59,""))</f>
        <v/>
      </c>
      <c r="AF60" t="str">
        <f>IF(AE60="","",MIN(EDATE('Навигатор накоплений'!E26,54),'Навигатор накоплений'!F26))</f>
        <v/>
      </c>
      <c r="AG60" t="str">
        <f>IF(AE60="","",ROUND(AH59*'Навигатор накоплений'!D26*IF(YEAR(AE60)=YEAR(AF60-1),(AF60-AE60)/(DATE(YEAR(AE60),12,31)-DATE(YEAR(AE60),1,1)+1),(DATE(YEAR(AE60)+1,1,1)-AE60)/(DATE(YEAR(AE60),12,31)-DATE(YEAR(AE60),1,1)+1)+(AF60-DATE(YEAR(AF60),1,1))/(DATE(YEAR(AF60),12,31)-DATE(YEAR(AF60),1,1)+1)),2))</f>
        <v/>
      </c>
      <c r="AH60" t="str">
        <f>IF(AE60="","",ROUND(AH59+AG60+IF(AF60&lt;'Навигатор накоплений'!F26,N('Навигатор накоплений'!G26),0),2))</f>
        <v/>
      </c>
      <c r="AJ60" t="str">
        <f>IF('Навигатор накоплений'!A27="","",IF(54&lt;=DATEDIF('Навигатор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накоплений'!F27,1,0),AK59,""))</f>
        <v/>
      </c>
      <c r="AK60" t="str">
        <f>IF(AJ60="","",MIN(EDATE('Навигатор накоплений'!E27,54),'Навигатор накоплений'!F27))</f>
        <v/>
      </c>
      <c r="AL60" t="str">
        <f>IF(AJ60="","",ROUND(AM59*'Навигатор накоплений'!D27*IF(YEAR(AJ60)=YEAR(AK60-1),(AK60-AJ60)/(DATE(YEAR(AJ60),12,31)-DATE(YEAR(AJ60),1,1)+1),(DATE(YEAR(AJ60)+1,1,1)-AJ60)/(DATE(YEAR(AJ60),12,31)-DATE(YEAR(AJ60),1,1)+1)+(AK60-DATE(YEAR(AK60),1,1))/(DATE(YEAR(AK60),12,31)-DATE(YEAR(AK60),1,1)+1)),2))</f>
        <v/>
      </c>
      <c r="AM60" t="str">
        <f>IF(AJ60="","",ROUND(AM59+AL60+IF(AK60&lt;'Навигатор накоплений'!F27,N('Навигатор накоплений'!G27),0),2))</f>
        <v/>
      </c>
      <c r="AO60" t="str">
        <f>IF('Навигатор накоплений'!A28="","",IF(54&lt;=DATEDIF('Навигатор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накоплений'!F28,1,0),AP59,""))</f>
        <v/>
      </c>
      <c r="AP60" t="str">
        <f>IF(AO60="","",MIN(EDATE('Навигатор накоплений'!E28,54),'Навигатор накоплений'!F28))</f>
        <v/>
      </c>
      <c r="AQ60" t="str">
        <f>IF(AO60="","",ROUND(AR59*'Навигатор накоплений'!D28*IF(YEAR(AO60)=YEAR(AP60-1),(AP60-AO60)/(DATE(YEAR(AO60),12,31)-DATE(YEAR(AO60),1,1)+1),(DATE(YEAR(AO60)+1,1,1)-AO60)/(DATE(YEAR(AO60),12,31)-DATE(YEAR(AO60),1,1)+1)+(AP60-DATE(YEAR(AP60),1,1))/(DATE(YEAR(AP60),12,31)-DATE(YEAR(AP60),1,1)+1)),2))</f>
        <v/>
      </c>
      <c r="AR60" t="str">
        <f>IF(AO60="","",ROUND(AR59+AQ60+IF(AP60&lt;'Навигатор накоплений'!F28,N('Навигатор накоплений'!G28),0),2))</f>
        <v/>
      </c>
      <c r="AT60">
        <f t="shared" si="20"/>
        <v>0</v>
      </c>
      <c r="AU60">
        <f t="shared" si="21"/>
        <v>0</v>
      </c>
      <c r="AV60">
        <f t="shared" si="22"/>
        <v>0</v>
      </c>
      <c r="AW60">
        <f t="shared" si="23"/>
        <v>0</v>
      </c>
      <c r="AX60">
        <f t="shared" si="24"/>
        <v>0</v>
      </c>
      <c r="AY60">
        <f t="shared" si="25"/>
        <v>0</v>
      </c>
      <c r="AZ60">
        <f t="shared" si="26"/>
        <v>0</v>
      </c>
      <c r="BA60"/>
      <c r="BB60"/>
      <c r="BD60"/>
      <c r="BE60"/>
      <c r="BF60"/>
      <c r="BG60"/>
    </row>
    <row r="61" spans="1:59" ht="15" x14ac:dyDescent="0.2">
      <c r="A61" s="43">
        <v>1</v>
      </c>
      <c r="B61" s="45" t="str">
        <f>IF('Навигатор накоплений'!A34="","",EDATE('Навигатор накоплений'!C34,A61-1))</f>
        <v/>
      </c>
      <c r="C61" s="45" t="str">
        <f>IF(B61="","",EDATE('Навигатор накоплений'!C34,A61))</f>
        <v/>
      </c>
      <c r="D61" s="46" t="str">
        <f>IF(B61="","",'Навигатор накоплений'!D34)</f>
        <v/>
      </c>
      <c r="E61" s="46" t="str">
        <f>IF(B61="","",N('Навигатор накоплений'!G34))</f>
        <v/>
      </c>
      <c r="F61" s="46" t="str">
        <f>IF(B61="","",IF('Навигатор накоплений'!F34="Ежедневный остаток",D61+E61,D61))</f>
        <v/>
      </c>
      <c r="G61" s="48" t="str">
        <f t="shared" ref="G61:G72" si="30">IF(B61="","",C61-B61)</f>
        <v/>
      </c>
      <c r="H61" s="46" t="str">
        <f>IF(B61="","",ROUND(F61*'Навигатор накоплений'!E34*IF(YEAR(B61)=YEAR(C61-1),(C61-B61)/(DATE(YEAR(B61),12,31)-DATE(YEAR(B61),1,1)+1),(DATE(YEAR(B61)+1,1,1)-B61)/(DATE(YEAR(B61),12,31)-DATE(YEAR(B61),1,1)+1)+(C61-DATE(YEAR(C61),1,1))/(DATE(YEAR(C61),12,31)-DATE(YEAR(C61),1,1)+1)),2))</f>
        <v/>
      </c>
      <c r="I61" s="46" t="str">
        <f t="shared" ref="I61:I72" si="31">IF(B61="","",ROUND(D61+E61+H61,2))</f>
        <v/>
      </c>
      <c r="K61" s="45" t="str">
        <f>IF('Навигатор накоплений'!A22="","",IF(55&lt;=DATEDIF('Навигатор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накоплений'!F22,1,0),L60,""))</f>
        <v/>
      </c>
      <c r="L61" s="45" t="str">
        <f>IF(K61="","",MIN(EDATE('Навигатор накоплений'!E22,55),'Навигатор накоплений'!F22))</f>
        <v/>
      </c>
      <c r="M61" s="46" t="str">
        <f>IF(K61="","",ROUND(N60*'Навигатор накоплений'!D22*IF(YEAR(K61)=YEAR(L61-1),(L61-K61)/(DATE(YEAR(K61),12,31)-DATE(YEAR(K61),1,1)+1),(DATE(YEAR(K61)+1,1,1)-K61)/(DATE(YEAR(K61),12,31)-DATE(YEAR(K61),1,1)+1)+(L61-DATE(YEAR(L61),1,1))/(DATE(YEAR(L61),12,31)-DATE(YEAR(L61),1,1)+1)),2))</f>
        <v/>
      </c>
      <c r="N61" s="46" t="str">
        <f>IF(K61="","",ROUND(N60+M61+IF(L61&lt;'Навигатор накоплений'!F22,N('Навигатор накоплений'!G22),0),2))</f>
        <v/>
      </c>
      <c r="P61" s="45" t="str">
        <f>IF('Навигатор накоплений'!A23="","",IF(55&lt;=DATEDIF('Навигатор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накоплений'!F23,1,0),Q60,""))</f>
        <v/>
      </c>
      <c r="Q61" s="45" t="str">
        <f>IF(P61="","",MIN(EDATE('Навигатор накоплений'!E23,55),'Навигатор накоплений'!F23))</f>
        <v/>
      </c>
      <c r="R61" s="46" t="str">
        <f>IF(P61="","",ROUND(S60*'Навигатор накоплений'!D23*IF(YEAR(P61)=YEAR(Q61-1),(Q61-P61)/(DATE(YEAR(P61),12,31)-DATE(YEAR(P61),1,1)+1),(DATE(YEAR(P61)+1,1,1)-P61)/(DATE(YEAR(P61),12,31)-DATE(YEAR(P61),1,1)+1)+(Q61-DATE(YEAR(Q61),1,1))/(DATE(YEAR(Q61),12,31)-DATE(YEAR(Q61),1,1)+1)),2))</f>
        <v/>
      </c>
      <c r="S61" s="46" t="str">
        <f>IF(P61="","",ROUND(S60+R61+IF(Q61&lt;'Навигатор накоплений'!F23,N('Навигатор накоплений'!G23),0),2))</f>
        <v/>
      </c>
      <c r="U61" s="45" t="str">
        <f>IF('Навигатор накоплений'!A24="","",IF(55&lt;=DATEDIF('Навигатор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накоплений'!F24,1,0),V60,""))</f>
        <v/>
      </c>
      <c r="V61" s="45" t="str">
        <f>IF(U61="","",MIN(EDATE('Навигатор накоплений'!E24,55),'Навигатор накоплений'!F24))</f>
        <v/>
      </c>
      <c r="W61" s="46" t="str">
        <f>IF(U61="","",ROUND(X60*'Навигатор накоплений'!D24*IF(YEAR(U61)=YEAR(V61-1),(V61-U61)/(DATE(YEAR(U61),12,31)-DATE(YEAR(U61),1,1)+1),(DATE(YEAR(U61)+1,1,1)-U61)/(DATE(YEAR(U61),12,31)-DATE(YEAR(U61),1,1)+1)+(V61-DATE(YEAR(V61),1,1))/(DATE(YEAR(V61),12,31)-DATE(YEAR(V61),1,1)+1)),2))</f>
        <v/>
      </c>
      <c r="X61" s="46" t="str">
        <f>IF(U61="","",ROUND(X60+W61+IF(V61&lt;'Навигатор накоплений'!F24,N('Навигатор накоплений'!G24),0),2))</f>
        <v/>
      </c>
      <c r="Z61" s="45" t="str">
        <f>IF('Навигатор накоплений'!A25="","",IF(55&lt;=DATEDIF('Навигатор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накоплений'!F25,1,0),AA60,""))</f>
        <v/>
      </c>
      <c r="AA61" s="45" t="str">
        <f>IF(Z61="","",MIN(EDATE('Навигатор накоплений'!E25,55),'Навигатор накоплений'!F25))</f>
        <v/>
      </c>
      <c r="AB61" s="46" t="str">
        <f>IF(Z61="","",ROUND(AC60*'Навигатор накоплений'!D25*IF(YEAR(Z61)=YEAR(AA61-1),(AA61-Z61)/(DATE(YEAR(Z61),12,31)-DATE(YEAR(Z61),1,1)+1),(DATE(YEAR(Z61)+1,1,1)-Z61)/(DATE(YEAR(Z61),12,31)-DATE(YEAR(Z61),1,1)+1)+(AA61-DATE(YEAR(AA61),1,1))/(DATE(YEAR(AA61),12,31)-DATE(YEAR(AA61),1,1)+1)),2))</f>
        <v/>
      </c>
      <c r="AC61" s="46" t="str">
        <f>IF(Z61="","",ROUND(AC60+AB61+IF(AA61&lt;'Навигатор накоплений'!F25,N('Навигатор накоплений'!G25),0),2))</f>
        <v/>
      </c>
      <c r="AE61" t="str">
        <f>IF('Навигатор накоплений'!A26="","",IF(55&lt;=DATEDIF('Навигатор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накоплений'!F26,1,0),AF60,""))</f>
        <v/>
      </c>
      <c r="AF61" t="str">
        <f>IF(AE61="","",MIN(EDATE('Навигатор накоплений'!E26,55),'Навигатор накоплений'!F26))</f>
        <v/>
      </c>
      <c r="AG61" t="str">
        <f>IF(AE61="","",ROUND(AH60*'Навигатор накоплений'!D26*IF(YEAR(AE61)=YEAR(AF61-1),(AF61-AE61)/(DATE(YEAR(AE61),12,31)-DATE(YEAR(AE61),1,1)+1),(DATE(YEAR(AE61)+1,1,1)-AE61)/(DATE(YEAR(AE61),12,31)-DATE(YEAR(AE61),1,1)+1)+(AF61-DATE(YEAR(AF61),1,1))/(DATE(YEAR(AF61),12,31)-DATE(YEAR(AF61),1,1)+1)),2))</f>
        <v/>
      </c>
      <c r="AH61" t="str">
        <f>IF(AE61="","",ROUND(AH60+AG61+IF(AF61&lt;'Навигатор накоплений'!F26,N('Навигатор накоплений'!G26),0),2))</f>
        <v/>
      </c>
      <c r="AJ61" t="str">
        <f>IF('Навигатор накоплений'!A27="","",IF(55&lt;=DATEDIF('Навигатор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накоплений'!F27,1,0),AK60,""))</f>
        <v/>
      </c>
      <c r="AK61" t="str">
        <f>IF(AJ61="","",MIN(EDATE('Навигатор накоплений'!E27,55),'Навигатор накоплений'!F27))</f>
        <v/>
      </c>
      <c r="AL61" t="str">
        <f>IF(AJ61="","",ROUND(AM60*'Навигатор накоплений'!D27*IF(YEAR(AJ61)=YEAR(AK61-1),(AK61-AJ61)/(DATE(YEAR(AJ61),12,31)-DATE(YEAR(AJ61),1,1)+1),(DATE(YEAR(AJ61)+1,1,1)-AJ61)/(DATE(YEAR(AJ61),12,31)-DATE(YEAR(AJ61),1,1)+1)+(AK61-DATE(YEAR(AK61),1,1))/(DATE(YEAR(AK61),12,31)-DATE(YEAR(AK61),1,1)+1)),2))</f>
        <v/>
      </c>
      <c r="AM61" t="str">
        <f>IF(AJ61="","",ROUND(AM60+AL61+IF(AK61&lt;'Навигатор накоплений'!F27,N('Навигатор накоплений'!G27),0),2))</f>
        <v/>
      </c>
      <c r="AO61" t="str">
        <f>IF('Навигатор накоплений'!A28="","",IF(55&lt;=DATEDIF('Навигатор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накоплений'!F28,1,0),AP60,""))</f>
        <v/>
      </c>
      <c r="AP61" t="str">
        <f>IF(AO61="","",MIN(EDATE('Навигатор накоплений'!E28,55),'Навигатор накоплений'!F28))</f>
        <v/>
      </c>
      <c r="AQ61" t="str">
        <f>IF(AO61="","",ROUND(AR60*'Навигатор накоплений'!D28*IF(YEAR(AO61)=YEAR(AP61-1),(AP61-AO61)/(DATE(YEAR(AO61),12,31)-DATE(YEAR(AO61),1,1)+1),(DATE(YEAR(AO61)+1,1,1)-AO61)/(DATE(YEAR(AO61),12,31)-DATE(YEAR(AO61),1,1)+1)+(AP61-DATE(YEAR(AP61),1,1))/(DATE(YEAR(AP61),12,31)-DATE(YEAR(AP61),1,1)+1)),2))</f>
        <v/>
      </c>
      <c r="AR61" t="str">
        <f>IF(AO61="","",ROUND(AR60+AQ61+IF(AP61&lt;'Навигатор накоплений'!F28,N('Навигатор накоплений'!G28),0),2))</f>
        <v/>
      </c>
      <c r="AT61">
        <f t="shared" si="20"/>
        <v>0</v>
      </c>
      <c r="AU61">
        <f t="shared" si="21"/>
        <v>0</v>
      </c>
      <c r="AV61">
        <f t="shared" si="22"/>
        <v>0</v>
      </c>
      <c r="AW61">
        <f t="shared" si="23"/>
        <v>0</v>
      </c>
      <c r="AX61">
        <f t="shared" si="24"/>
        <v>0</v>
      </c>
      <c r="AY61">
        <f t="shared" si="25"/>
        <v>0</v>
      </c>
      <c r="AZ61">
        <f t="shared" si="26"/>
        <v>0</v>
      </c>
      <c r="BA61"/>
      <c r="BB61"/>
      <c r="BD61"/>
      <c r="BE61"/>
      <c r="BF61"/>
      <c r="BG61"/>
    </row>
    <row r="62" spans="1:59" ht="15" x14ac:dyDescent="0.2">
      <c r="A62" s="43">
        <v>2</v>
      </c>
      <c r="B62" s="45" t="str">
        <f>IF('Навигатор накоплений'!A34="","",EDATE('Навигатор накоплений'!C34,A62-1))</f>
        <v/>
      </c>
      <c r="C62" s="45" t="str">
        <f>IF(B62="","",EDATE('Навигатор накоплений'!C34,A62))</f>
        <v/>
      </c>
      <c r="D62" s="46" t="str">
        <f t="shared" ref="D62:D72" si="32">IF(B62="","",I61)</f>
        <v/>
      </c>
      <c r="E62" s="46" t="str">
        <f>IF(B62="","",N('Навигатор накоплений'!G34))</f>
        <v/>
      </c>
      <c r="F62" s="46" t="str">
        <f>IF(B62="","",IF('Навигатор накоплений'!F34="Ежедневный остаток",D62+E62,D62))</f>
        <v/>
      </c>
      <c r="G62" s="48" t="str">
        <f t="shared" si="30"/>
        <v/>
      </c>
      <c r="H62" s="46" t="str">
        <f>IF(B62="","",ROUND(F62*'Навигатор накоплений'!E34*IF(YEAR(B62)=YEAR(C62-1),(C62-B62)/(DATE(YEAR(B62),12,31)-DATE(YEAR(B62),1,1)+1),(DATE(YEAR(B62)+1,1,1)-B62)/(DATE(YEAR(B62),12,31)-DATE(YEAR(B62),1,1)+1)+(C62-DATE(YEAR(C62),1,1))/(DATE(YEAR(C62),12,31)-DATE(YEAR(C62),1,1)+1)),2))</f>
        <v/>
      </c>
      <c r="I62" s="46" t="str">
        <f t="shared" si="31"/>
        <v/>
      </c>
      <c r="K62" s="45" t="str">
        <f>IF('Навигатор накоплений'!A22="","",IF(56&lt;=DATEDIF('Навигатор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накоплений'!F22,1,0),L61,""))</f>
        <v/>
      </c>
      <c r="L62" s="45" t="str">
        <f>IF(K62="","",MIN(EDATE('Навигатор накоплений'!E22,56),'Навигатор накоплений'!F22))</f>
        <v/>
      </c>
      <c r="M62" s="46" t="str">
        <f>IF(K62="","",ROUND(N61*'Навигатор накоплений'!D22*IF(YEAR(K62)=YEAR(L62-1),(L62-K62)/(DATE(YEAR(K62),12,31)-DATE(YEAR(K62),1,1)+1),(DATE(YEAR(K62)+1,1,1)-K62)/(DATE(YEAR(K62),12,31)-DATE(YEAR(K62),1,1)+1)+(L62-DATE(YEAR(L62),1,1))/(DATE(YEAR(L62),12,31)-DATE(YEAR(L62),1,1)+1)),2))</f>
        <v/>
      </c>
      <c r="N62" s="46" t="str">
        <f>IF(K62="","",ROUND(N61+M62+IF(L62&lt;'Навигатор накоплений'!F22,N('Навигатор накоплений'!G22),0),2))</f>
        <v/>
      </c>
      <c r="P62" s="45" t="str">
        <f>IF('Навигатор накоплений'!A23="","",IF(56&lt;=DATEDIF('Навигатор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накоплений'!F23,1,0),Q61,""))</f>
        <v/>
      </c>
      <c r="Q62" s="45" t="str">
        <f>IF(P62="","",MIN(EDATE('Навигатор накоплений'!E23,56),'Навигатор накоплений'!F23))</f>
        <v/>
      </c>
      <c r="R62" s="46" t="str">
        <f>IF(P62="","",ROUND(S61*'Навигатор накоплений'!D23*IF(YEAR(P62)=YEAR(Q62-1),(Q62-P62)/(DATE(YEAR(P62),12,31)-DATE(YEAR(P62),1,1)+1),(DATE(YEAR(P62)+1,1,1)-P62)/(DATE(YEAR(P62),12,31)-DATE(YEAR(P62),1,1)+1)+(Q62-DATE(YEAR(Q62),1,1))/(DATE(YEAR(Q62),12,31)-DATE(YEAR(Q62),1,1)+1)),2))</f>
        <v/>
      </c>
      <c r="S62" s="46" t="str">
        <f>IF(P62="","",ROUND(S61+R62+IF(Q62&lt;'Навигатор накоплений'!F23,N('Навигатор накоплений'!G23),0),2))</f>
        <v/>
      </c>
      <c r="U62" s="45" t="str">
        <f>IF('Навигатор накоплений'!A24="","",IF(56&lt;=DATEDIF('Навигатор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накоплений'!F24,1,0),V61,""))</f>
        <v/>
      </c>
      <c r="V62" s="45" t="str">
        <f>IF(U62="","",MIN(EDATE('Навигатор накоплений'!E24,56),'Навигатор накоплений'!F24))</f>
        <v/>
      </c>
      <c r="W62" s="46" t="str">
        <f>IF(U62="","",ROUND(X61*'Навигатор накоплений'!D24*IF(YEAR(U62)=YEAR(V62-1),(V62-U62)/(DATE(YEAR(U62),12,31)-DATE(YEAR(U62),1,1)+1),(DATE(YEAR(U62)+1,1,1)-U62)/(DATE(YEAR(U62),12,31)-DATE(YEAR(U62),1,1)+1)+(V62-DATE(YEAR(V62),1,1))/(DATE(YEAR(V62),12,31)-DATE(YEAR(V62),1,1)+1)),2))</f>
        <v/>
      </c>
      <c r="X62" s="46" t="str">
        <f>IF(U62="","",ROUND(X61+W62+IF(V62&lt;'Навигатор накоплений'!F24,N('Навигатор накоплений'!G24),0),2))</f>
        <v/>
      </c>
      <c r="Z62" s="45" t="str">
        <f>IF('Навигатор накоплений'!A25="","",IF(56&lt;=DATEDIF('Навигатор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накоплений'!F25,1,0),AA61,""))</f>
        <v/>
      </c>
      <c r="AA62" s="45" t="str">
        <f>IF(Z62="","",MIN(EDATE('Навигатор накоплений'!E25,56),'Навигатор накоплений'!F25))</f>
        <v/>
      </c>
      <c r="AB62" s="46" t="str">
        <f>IF(Z62="","",ROUND(AC61*'Навигатор накоплений'!D25*IF(YEAR(Z62)=YEAR(AA62-1),(AA62-Z62)/(DATE(YEAR(Z62),12,31)-DATE(YEAR(Z62),1,1)+1),(DATE(YEAR(Z62)+1,1,1)-Z62)/(DATE(YEAR(Z62),12,31)-DATE(YEAR(Z62),1,1)+1)+(AA62-DATE(YEAR(AA62),1,1))/(DATE(YEAR(AA62),12,31)-DATE(YEAR(AA62),1,1)+1)),2))</f>
        <v/>
      </c>
      <c r="AC62" s="46" t="str">
        <f>IF(Z62="","",ROUND(AC61+AB62+IF(AA62&lt;'Навигатор накоплений'!F25,N('Навигатор накоплений'!G25),0),2))</f>
        <v/>
      </c>
      <c r="AE62" t="str">
        <f>IF('Навигатор накоплений'!A26="","",IF(56&lt;=DATEDIF('Навигатор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накоплений'!F26,1,0),AF61,""))</f>
        <v/>
      </c>
      <c r="AF62" t="str">
        <f>IF(AE62="","",MIN(EDATE('Навигатор накоплений'!E26,56),'Навигатор накоплений'!F26))</f>
        <v/>
      </c>
      <c r="AG62" t="str">
        <f>IF(AE62="","",ROUND(AH61*'Навигатор накоплений'!D26*IF(YEAR(AE62)=YEAR(AF62-1),(AF62-AE62)/(DATE(YEAR(AE62),12,31)-DATE(YEAR(AE62),1,1)+1),(DATE(YEAR(AE62)+1,1,1)-AE62)/(DATE(YEAR(AE62),12,31)-DATE(YEAR(AE62),1,1)+1)+(AF62-DATE(YEAR(AF62),1,1))/(DATE(YEAR(AF62),12,31)-DATE(YEAR(AF62),1,1)+1)),2))</f>
        <v/>
      </c>
      <c r="AH62" t="str">
        <f>IF(AE62="","",ROUND(AH61+AG62+IF(AF62&lt;'Навигатор накоплений'!F26,N('Навигатор накоплений'!G26),0),2))</f>
        <v/>
      </c>
      <c r="AJ62" t="str">
        <f>IF('Навигатор накоплений'!A27="","",IF(56&lt;=DATEDIF('Навигатор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накоплений'!F27,1,0),AK61,""))</f>
        <v/>
      </c>
      <c r="AK62" t="str">
        <f>IF(AJ62="","",MIN(EDATE('Навигатор накоплений'!E27,56),'Навигатор накоплений'!F27))</f>
        <v/>
      </c>
      <c r="AL62" t="str">
        <f>IF(AJ62="","",ROUND(AM61*'Навигатор накоплений'!D27*IF(YEAR(AJ62)=YEAR(AK62-1),(AK62-AJ62)/(DATE(YEAR(AJ62),12,31)-DATE(YEAR(AJ62),1,1)+1),(DATE(YEAR(AJ62)+1,1,1)-AJ62)/(DATE(YEAR(AJ62),12,31)-DATE(YEAR(AJ62),1,1)+1)+(AK62-DATE(YEAR(AK62),1,1))/(DATE(YEAR(AK62),12,31)-DATE(YEAR(AK62),1,1)+1)),2))</f>
        <v/>
      </c>
      <c r="AM62" t="str">
        <f>IF(AJ62="","",ROUND(AM61+AL62+IF(AK62&lt;'Навигатор накоплений'!F27,N('Навигатор накоплений'!G27),0),2))</f>
        <v/>
      </c>
      <c r="AO62" t="str">
        <f>IF('Навигатор накоплений'!A28="","",IF(56&lt;=DATEDIF('Навигатор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накоплений'!F28,1,0),AP61,""))</f>
        <v/>
      </c>
      <c r="AP62" t="str">
        <f>IF(AO62="","",MIN(EDATE('Навигатор накоплений'!E28,56),'Навигатор накоплений'!F28))</f>
        <v/>
      </c>
      <c r="AQ62" t="str">
        <f>IF(AO62="","",ROUND(AR61*'Навигатор накоплений'!D28*IF(YEAR(AO62)=YEAR(AP62-1),(AP62-AO62)/(DATE(YEAR(AO62),12,31)-DATE(YEAR(AO62),1,1)+1),(DATE(YEAR(AO62)+1,1,1)-AO62)/(DATE(YEAR(AO62),12,31)-DATE(YEAR(AO62),1,1)+1)+(AP62-DATE(YEAR(AP62),1,1))/(DATE(YEAR(AP62),12,31)-DATE(YEAR(AP62),1,1)+1)),2))</f>
        <v/>
      </c>
      <c r="AR62" t="str">
        <f>IF(AO62="","",ROUND(AR61+AQ62+IF(AP62&lt;'Навигатор накоплений'!F28,N('Навигатор накоплений'!G28),0),2))</f>
        <v/>
      </c>
      <c r="AT62">
        <f t="shared" si="20"/>
        <v>0</v>
      </c>
      <c r="AU62">
        <f t="shared" si="21"/>
        <v>0</v>
      </c>
      <c r="AV62">
        <f t="shared" si="22"/>
        <v>0</v>
      </c>
      <c r="AW62">
        <f t="shared" si="23"/>
        <v>0</v>
      </c>
      <c r="AX62">
        <f t="shared" si="24"/>
        <v>0</v>
      </c>
      <c r="AY62">
        <f t="shared" si="25"/>
        <v>0</v>
      </c>
      <c r="AZ62">
        <f t="shared" si="26"/>
        <v>0</v>
      </c>
      <c r="BA62"/>
      <c r="BB62"/>
      <c r="BD62"/>
      <c r="BE62"/>
      <c r="BF62"/>
      <c r="BG62"/>
    </row>
    <row r="63" spans="1:59" ht="15" x14ac:dyDescent="0.2">
      <c r="A63" s="43">
        <v>3</v>
      </c>
      <c r="B63" s="45" t="str">
        <f>IF('Навигатор накоплений'!A34="","",EDATE('Навигатор накоплений'!C34,A63-1))</f>
        <v/>
      </c>
      <c r="C63" s="45" t="str">
        <f>IF(B63="","",EDATE('Навигатор накоплений'!C34,A63))</f>
        <v/>
      </c>
      <c r="D63" s="46" t="str">
        <f t="shared" si="32"/>
        <v/>
      </c>
      <c r="E63" s="46" t="str">
        <f>IF(B63="","",N('Навигатор накоплений'!G34))</f>
        <v/>
      </c>
      <c r="F63" s="46" t="str">
        <f>IF(B63="","",IF('Навигатор накоплений'!F34="Ежедневный остаток",D63+E63,D63))</f>
        <v/>
      </c>
      <c r="G63" s="48" t="str">
        <f t="shared" si="30"/>
        <v/>
      </c>
      <c r="H63" s="46" t="str">
        <f>IF(B63="","",ROUND(F63*'Навигатор накоплений'!E34*IF(YEAR(B63)=YEAR(C63-1),(C63-B63)/(DATE(YEAR(B63),12,31)-DATE(YEAR(B63),1,1)+1),(DATE(YEAR(B63)+1,1,1)-B63)/(DATE(YEAR(B63),12,31)-DATE(YEAR(B63),1,1)+1)+(C63-DATE(YEAR(C63),1,1))/(DATE(YEAR(C63),12,31)-DATE(YEAR(C63),1,1)+1)),2))</f>
        <v/>
      </c>
      <c r="I63" s="46" t="str">
        <f t="shared" si="31"/>
        <v/>
      </c>
      <c r="K63" s="45" t="str">
        <f>IF('Навигатор накоплений'!A22="","",IF(57&lt;=DATEDIF('Навигатор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накоплений'!F22,1,0),L62,""))</f>
        <v/>
      </c>
      <c r="L63" s="45" t="str">
        <f>IF(K63="","",MIN(EDATE('Навигатор накоплений'!E22,57),'Навигатор накоплений'!F22))</f>
        <v/>
      </c>
      <c r="M63" s="46" t="str">
        <f>IF(K63="","",ROUND(N62*'Навигатор накоплений'!D22*IF(YEAR(K63)=YEAR(L63-1),(L63-K63)/(DATE(YEAR(K63),12,31)-DATE(YEAR(K63),1,1)+1),(DATE(YEAR(K63)+1,1,1)-K63)/(DATE(YEAR(K63),12,31)-DATE(YEAR(K63),1,1)+1)+(L63-DATE(YEAR(L63),1,1))/(DATE(YEAR(L63),12,31)-DATE(YEAR(L63),1,1)+1)),2))</f>
        <v/>
      </c>
      <c r="N63" s="46" t="str">
        <f>IF(K63="","",ROUND(N62+M63+IF(L63&lt;'Навигатор накоплений'!F22,N('Навигатор накоплений'!G22),0),2))</f>
        <v/>
      </c>
      <c r="P63" s="45" t="str">
        <f>IF('Навигатор накоплений'!A23="","",IF(57&lt;=DATEDIF('Навигатор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накоплений'!F23,1,0),Q62,""))</f>
        <v/>
      </c>
      <c r="Q63" s="45" t="str">
        <f>IF(P63="","",MIN(EDATE('Навигатор накоплений'!E23,57),'Навигатор накоплений'!F23))</f>
        <v/>
      </c>
      <c r="R63" s="46" t="str">
        <f>IF(P63="","",ROUND(S62*'Навигатор накоплений'!D23*IF(YEAR(P63)=YEAR(Q63-1),(Q63-P63)/(DATE(YEAR(P63),12,31)-DATE(YEAR(P63),1,1)+1),(DATE(YEAR(P63)+1,1,1)-P63)/(DATE(YEAR(P63),12,31)-DATE(YEAR(P63),1,1)+1)+(Q63-DATE(YEAR(Q63),1,1))/(DATE(YEAR(Q63),12,31)-DATE(YEAR(Q63),1,1)+1)),2))</f>
        <v/>
      </c>
      <c r="S63" s="46" t="str">
        <f>IF(P63="","",ROUND(S62+R63+IF(Q63&lt;'Навигатор накоплений'!F23,N('Навигатор накоплений'!G23),0),2))</f>
        <v/>
      </c>
      <c r="U63" s="45" t="str">
        <f>IF('Навигатор накоплений'!A24="","",IF(57&lt;=DATEDIF('Навигатор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накоплений'!F24,1,0),V62,""))</f>
        <v/>
      </c>
      <c r="V63" s="45" t="str">
        <f>IF(U63="","",MIN(EDATE('Навигатор накоплений'!E24,57),'Навигатор накоплений'!F24))</f>
        <v/>
      </c>
      <c r="W63" s="46" t="str">
        <f>IF(U63="","",ROUND(X62*'Навигатор накоплений'!D24*IF(YEAR(U63)=YEAR(V63-1),(V63-U63)/(DATE(YEAR(U63),12,31)-DATE(YEAR(U63),1,1)+1),(DATE(YEAR(U63)+1,1,1)-U63)/(DATE(YEAR(U63),12,31)-DATE(YEAR(U63),1,1)+1)+(V63-DATE(YEAR(V63),1,1))/(DATE(YEAR(V63),12,31)-DATE(YEAR(V63),1,1)+1)),2))</f>
        <v/>
      </c>
      <c r="X63" s="46" t="str">
        <f>IF(U63="","",ROUND(X62+W63+IF(V63&lt;'Навигатор накоплений'!F24,N('Навигатор накоплений'!G24),0),2))</f>
        <v/>
      </c>
      <c r="Z63" s="45" t="str">
        <f>IF('Навигатор накоплений'!A25="","",IF(57&lt;=DATEDIF('Навигатор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накоплений'!F25,1,0),AA62,""))</f>
        <v/>
      </c>
      <c r="AA63" s="45" t="str">
        <f>IF(Z63="","",MIN(EDATE('Навигатор накоплений'!E25,57),'Навигатор накоплений'!F25))</f>
        <v/>
      </c>
      <c r="AB63" s="46" t="str">
        <f>IF(Z63="","",ROUND(AC62*'Навигатор накоплений'!D25*IF(YEAR(Z63)=YEAR(AA63-1),(AA63-Z63)/(DATE(YEAR(Z63),12,31)-DATE(YEAR(Z63),1,1)+1),(DATE(YEAR(Z63)+1,1,1)-Z63)/(DATE(YEAR(Z63),12,31)-DATE(YEAR(Z63),1,1)+1)+(AA63-DATE(YEAR(AA63),1,1))/(DATE(YEAR(AA63),12,31)-DATE(YEAR(AA63),1,1)+1)),2))</f>
        <v/>
      </c>
      <c r="AC63" s="46" t="str">
        <f>IF(Z63="","",ROUND(AC62+AB63+IF(AA63&lt;'Навигатор накоплений'!F25,N('Навигатор накоплений'!G25),0),2))</f>
        <v/>
      </c>
      <c r="AE63" t="str">
        <f>IF('Навигатор накоплений'!A26="","",IF(57&lt;=DATEDIF('Навигатор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накоплений'!F26,1,0),AF62,""))</f>
        <v/>
      </c>
      <c r="AF63" t="str">
        <f>IF(AE63="","",MIN(EDATE('Навигатор накоплений'!E26,57),'Навигатор накоплений'!F26))</f>
        <v/>
      </c>
      <c r="AG63" t="str">
        <f>IF(AE63="","",ROUND(AH62*'Навигатор накоплений'!D26*IF(YEAR(AE63)=YEAR(AF63-1),(AF63-AE63)/(DATE(YEAR(AE63),12,31)-DATE(YEAR(AE63),1,1)+1),(DATE(YEAR(AE63)+1,1,1)-AE63)/(DATE(YEAR(AE63),12,31)-DATE(YEAR(AE63),1,1)+1)+(AF63-DATE(YEAR(AF63),1,1))/(DATE(YEAR(AF63),12,31)-DATE(YEAR(AF63),1,1)+1)),2))</f>
        <v/>
      </c>
      <c r="AH63" t="str">
        <f>IF(AE63="","",ROUND(AH62+AG63+IF(AF63&lt;'Навигатор накоплений'!F26,N('Навигатор накоплений'!G26),0),2))</f>
        <v/>
      </c>
      <c r="AJ63" t="str">
        <f>IF('Навигатор накоплений'!A27="","",IF(57&lt;=DATEDIF('Навигатор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накоплений'!F27,1,0),AK62,""))</f>
        <v/>
      </c>
      <c r="AK63" t="str">
        <f>IF(AJ63="","",MIN(EDATE('Навигатор накоплений'!E27,57),'Навигатор накоплений'!F27))</f>
        <v/>
      </c>
      <c r="AL63" t="str">
        <f>IF(AJ63="","",ROUND(AM62*'Навигатор накоплений'!D27*IF(YEAR(AJ63)=YEAR(AK63-1),(AK63-AJ63)/(DATE(YEAR(AJ63),12,31)-DATE(YEAR(AJ63),1,1)+1),(DATE(YEAR(AJ63)+1,1,1)-AJ63)/(DATE(YEAR(AJ63),12,31)-DATE(YEAR(AJ63),1,1)+1)+(AK63-DATE(YEAR(AK63),1,1))/(DATE(YEAR(AK63),12,31)-DATE(YEAR(AK63),1,1)+1)),2))</f>
        <v/>
      </c>
      <c r="AM63" t="str">
        <f>IF(AJ63="","",ROUND(AM62+AL63+IF(AK63&lt;'Навигатор накоплений'!F27,N('Навигатор накоплений'!G27),0),2))</f>
        <v/>
      </c>
      <c r="AO63" t="str">
        <f>IF('Навигатор накоплений'!A28="","",IF(57&lt;=DATEDIF('Навигатор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накоплений'!F28,1,0),AP62,""))</f>
        <v/>
      </c>
      <c r="AP63" t="str">
        <f>IF(AO63="","",MIN(EDATE('Навигатор накоплений'!E28,57),'Навигатор накоплений'!F28))</f>
        <v/>
      </c>
      <c r="AQ63" t="str">
        <f>IF(AO63="","",ROUND(AR62*'Навигатор накоплений'!D28*IF(YEAR(AO63)=YEAR(AP63-1),(AP63-AO63)/(DATE(YEAR(AO63),12,31)-DATE(YEAR(AO63),1,1)+1),(DATE(YEAR(AO63)+1,1,1)-AO63)/(DATE(YEAR(AO63),12,31)-DATE(YEAR(AO63),1,1)+1)+(AP63-DATE(YEAR(AP63),1,1))/(DATE(YEAR(AP63),12,31)-DATE(YEAR(AP63),1,1)+1)),2))</f>
        <v/>
      </c>
      <c r="AR63" t="str">
        <f>IF(AO63="","",ROUND(AR62+AQ63+IF(AP63&lt;'Навигатор накоплений'!F28,N('Навигатор накоплений'!G28),0),2))</f>
        <v/>
      </c>
      <c r="AT63">
        <f t="shared" si="20"/>
        <v>0</v>
      </c>
      <c r="AU63">
        <f t="shared" si="21"/>
        <v>0</v>
      </c>
      <c r="AV63">
        <f t="shared" si="22"/>
        <v>0</v>
      </c>
      <c r="AW63">
        <f t="shared" si="23"/>
        <v>0</v>
      </c>
      <c r="AX63">
        <f t="shared" si="24"/>
        <v>0</v>
      </c>
      <c r="AY63">
        <f t="shared" si="25"/>
        <v>0</v>
      </c>
      <c r="AZ63">
        <f t="shared" si="26"/>
        <v>0</v>
      </c>
      <c r="BA63"/>
      <c r="BB63"/>
      <c r="BD63"/>
      <c r="BE63"/>
      <c r="BF63"/>
      <c r="BG63"/>
    </row>
    <row r="64" spans="1:59" ht="15" x14ac:dyDescent="0.2">
      <c r="A64" s="43">
        <v>4</v>
      </c>
      <c r="B64" s="45" t="str">
        <f>IF('Навигатор накоплений'!A34="","",EDATE('Навигатор накоплений'!C34,A64-1))</f>
        <v/>
      </c>
      <c r="C64" s="45" t="str">
        <f>IF(B64="","",EDATE('Навигатор накоплений'!C34,A64))</f>
        <v/>
      </c>
      <c r="D64" s="46" t="str">
        <f t="shared" si="32"/>
        <v/>
      </c>
      <c r="E64" s="46" t="str">
        <f>IF(B64="","",N('Навигатор накоплений'!G34))</f>
        <v/>
      </c>
      <c r="F64" s="46" t="str">
        <f>IF(B64="","",IF('Навигатор накоплений'!F34="Ежедневный остаток",D64+E64,D64))</f>
        <v/>
      </c>
      <c r="G64" s="48" t="str">
        <f t="shared" si="30"/>
        <v/>
      </c>
      <c r="H64" s="46" t="str">
        <f>IF(B64="","",ROUND(F64*'Навигатор накоплений'!E34*IF(YEAR(B64)=YEAR(C64-1),(C64-B64)/(DATE(YEAR(B64),12,31)-DATE(YEAR(B64),1,1)+1),(DATE(YEAR(B64)+1,1,1)-B64)/(DATE(YEAR(B64),12,31)-DATE(YEAR(B64),1,1)+1)+(C64-DATE(YEAR(C64),1,1))/(DATE(YEAR(C64),12,31)-DATE(YEAR(C64),1,1)+1)),2))</f>
        <v/>
      </c>
      <c r="I64" s="46" t="str">
        <f t="shared" si="31"/>
        <v/>
      </c>
      <c r="K64" s="45" t="str">
        <f>IF('Навигатор накоплений'!A22="","",IF(58&lt;=DATEDIF('Навигатор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накоплений'!F22,1,0),L63,""))</f>
        <v/>
      </c>
      <c r="L64" s="45" t="str">
        <f>IF(K64="","",MIN(EDATE('Навигатор накоплений'!E22,58),'Навигатор накоплений'!F22))</f>
        <v/>
      </c>
      <c r="M64" s="46" t="str">
        <f>IF(K64="","",ROUND(N63*'Навигатор накоплений'!D22*IF(YEAR(K64)=YEAR(L64-1),(L64-K64)/(DATE(YEAR(K64),12,31)-DATE(YEAR(K64),1,1)+1),(DATE(YEAR(K64)+1,1,1)-K64)/(DATE(YEAR(K64),12,31)-DATE(YEAR(K64),1,1)+1)+(L64-DATE(YEAR(L64),1,1))/(DATE(YEAR(L64),12,31)-DATE(YEAR(L64),1,1)+1)),2))</f>
        <v/>
      </c>
      <c r="N64" s="46" t="str">
        <f>IF(K64="","",ROUND(N63+M64+IF(L64&lt;'Навигатор накоплений'!F22,N('Навигатор накоплений'!G22),0),2))</f>
        <v/>
      </c>
      <c r="P64" s="45" t="str">
        <f>IF('Навигатор накоплений'!A23="","",IF(58&lt;=DATEDIF('Навигатор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накоплений'!F23,1,0),Q63,""))</f>
        <v/>
      </c>
      <c r="Q64" s="45" t="str">
        <f>IF(P64="","",MIN(EDATE('Навигатор накоплений'!E23,58),'Навигатор накоплений'!F23))</f>
        <v/>
      </c>
      <c r="R64" s="46" t="str">
        <f>IF(P64="","",ROUND(S63*'Навигатор накоплений'!D23*IF(YEAR(P64)=YEAR(Q64-1),(Q64-P64)/(DATE(YEAR(P64),12,31)-DATE(YEAR(P64),1,1)+1),(DATE(YEAR(P64)+1,1,1)-P64)/(DATE(YEAR(P64),12,31)-DATE(YEAR(P64),1,1)+1)+(Q64-DATE(YEAR(Q64),1,1))/(DATE(YEAR(Q64),12,31)-DATE(YEAR(Q64),1,1)+1)),2))</f>
        <v/>
      </c>
      <c r="S64" s="46" t="str">
        <f>IF(P64="","",ROUND(S63+R64+IF(Q64&lt;'Навигатор накоплений'!F23,N('Навигатор накоплений'!G23),0),2))</f>
        <v/>
      </c>
      <c r="U64" s="45" t="str">
        <f>IF('Навигатор накоплений'!A24="","",IF(58&lt;=DATEDIF('Навигатор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накоплений'!F24,1,0),V63,""))</f>
        <v/>
      </c>
      <c r="V64" s="45" t="str">
        <f>IF(U64="","",MIN(EDATE('Навигатор накоплений'!E24,58),'Навигатор накоплений'!F24))</f>
        <v/>
      </c>
      <c r="W64" s="46" t="str">
        <f>IF(U64="","",ROUND(X63*'Навигатор накоплений'!D24*IF(YEAR(U64)=YEAR(V64-1),(V64-U64)/(DATE(YEAR(U64),12,31)-DATE(YEAR(U64),1,1)+1),(DATE(YEAR(U64)+1,1,1)-U64)/(DATE(YEAR(U64),12,31)-DATE(YEAR(U64),1,1)+1)+(V64-DATE(YEAR(V64),1,1))/(DATE(YEAR(V64),12,31)-DATE(YEAR(V64),1,1)+1)),2))</f>
        <v/>
      </c>
      <c r="X64" s="46" t="str">
        <f>IF(U64="","",ROUND(X63+W64+IF(V64&lt;'Навигатор накоплений'!F24,N('Навигатор накоплений'!G24),0),2))</f>
        <v/>
      </c>
      <c r="Z64" s="45" t="str">
        <f>IF('Навигатор накоплений'!A25="","",IF(58&lt;=DATEDIF('Навигатор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накоплений'!F25,1,0),AA63,""))</f>
        <v/>
      </c>
      <c r="AA64" s="45" t="str">
        <f>IF(Z64="","",MIN(EDATE('Навигатор накоплений'!E25,58),'Навигатор накоплений'!F25))</f>
        <v/>
      </c>
      <c r="AB64" s="46" t="str">
        <f>IF(Z64="","",ROUND(AC63*'Навигатор накоплений'!D25*IF(YEAR(Z64)=YEAR(AA64-1),(AA64-Z64)/(DATE(YEAR(Z64),12,31)-DATE(YEAR(Z64),1,1)+1),(DATE(YEAR(Z64)+1,1,1)-Z64)/(DATE(YEAR(Z64),12,31)-DATE(YEAR(Z64),1,1)+1)+(AA64-DATE(YEAR(AA64),1,1))/(DATE(YEAR(AA64),12,31)-DATE(YEAR(AA64),1,1)+1)),2))</f>
        <v/>
      </c>
      <c r="AC64" s="46" t="str">
        <f>IF(Z64="","",ROUND(AC63+AB64+IF(AA64&lt;'Навигатор накоплений'!F25,N('Навигатор накоплений'!G25),0),2))</f>
        <v/>
      </c>
      <c r="AE64" t="str">
        <f>IF('Навигатор накоплений'!A26="","",IF(58&lt;=DATEDIF('Навигатор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накоплений'!F26,1,0),AF63,""))</f>
        <v/>
      </c>
      <c r="AF64" t="str">
        <f>IF(AE64="","",MIN(EDATE('Навигатор накоплений'!E26,58),'Навигатор накоплений'!F26))</f>
        <v/>
      </c>
      <c r="AG64" t="str">
        <f>IF(AE64="","",ROUND(AH63*'Навигатор накоплений'!D26*IF(YEAR(AE64)=YEAR(AF64-1),(AF64-AE64)/(DATE(YEAR(AE64),12,31)-DATE(YEAR(AE64),1,1)+1),(DATE(YEAR(AE64)+1,1,1)-AE64)/(DATE(YEAR(AE64),12,31)-DATE(YEAR(AE64),1,1)+1)+(AF64-DATE(YEAR(AF64),1,1))/(DATE(YEAR(AF64),12,31)-DATE(YEAR(AF64),1,1)+1)),2))</f>
        <v/>
      </c>
      <c r="AH64" t="str">
        <f>IF(AE64="","",ROUND(AH63+AG64+IF(AF64&lt;'Навигатор накоплений'!F26,N('Навигатор накоплений'!G26),0),2))</f>
        <v/>
      </c>
      <c r="AJ64" t="str">
        <f>IF('Навигатор накоплений'!A27="","",IF(58&lt;=DATEDIF('Навигатор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накоплений'!F27,1,0),AK63,""))</f>
        <v/>
      </c>
      <c r="AK64" t="str">
        <f>IF(AJ64="","",MIN(EDATE('Навигатор накоплений'!E27,58),'Навигатор накоплений'!F27))</f>
        <v/>
      </c>
      <c r="AL64" t="str">
        <f>IF(AJ64="","",ROUND(AM63*'Навигатор накоплений'!D27*IF(YEAR(AJ64)=YEAR(AK64-1),(AK64-AJ64)/(DATE(YEAR(AJ64),12,31)-DATE(YEAR(AJ64),1,1)+1),(DATE(YEAR(AJ64)+1,1,1)-AJ64)/(DATE(YEAR(AJ64),12,31)-DATE(YEAR(AJ64),1,1)+1)+(AK64-DATE(YEAR(AK64),1,1))/(DATE(YEAR(AK64),12,31)-DATE(YEAR(AK64),1,1)+1)),2))</f>
        <v/>
      </c>
      <c r="AM64" t="str">
        <f>IF(AJ64="","",ROUND(AM63+AL64+IF(AK64&lt;'Навигатор накоплений'!F27,N('Навигатор накоплений'!G27),0),2))</f>
        <v/>
      </c>
      <c r="AO64" t="str">
        <f>IF('Навигатор накоплений'!A28="","",IF(58&lt;=DATEDIF('Навигатор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накоплений'!F28,1,0),AP63,""))</f>
        <v/>
      </c>
      <c r="AP64" t="str">
        <f>IF(AO64="","",MIN(EDATE('Навигатор накоплений'!E28,58),'Навигатор накоплений'!F28))</f>
        <v/>
      </c>
      <c r="AQ64" t="str">
        <f>IF(AO64="","",ROUND(AR63*'Навигатор накоплений'!D28*IF(YEAR(AO64)=YEAR(AP64-1),(AP64-AO64)/(DATE(YEAR(AO64),12,31)-DATE(YEAR(AO64),1,1)+1),(DATE(YEAR(AO64)+1,1,1)-AO64)/(DATE(YEAR(AO64),12,31)-DATE(YEAR(AO64),1,1)+1)+(AP64-DATE(YEAR(AP64),1,1))/(DATE(YEAR(AP64),12,31)-DATE(YEAR(AP64),1,1)+1)),2))</f>
        <v/>
      </c>
      <c r="AR64" t="str">
        <f>IF(AO64="","",ROUND(AR63+AQ64+IF(AP64&lt;'Навигатор накоплений'!F28,N('Навигатор накоплений'!G28),0),2))</f>
        <v/>
      </c>
      <c r="AT64">
        <f t="shared" si="20"/>
        <v>0</v>
      </c>
      <c r="AU64">
        <f t="shared" si="21"/>
        <v>0</v>
      </c>
      <c r="AV64">
        <f t="shared" si="22"/>
        <v>0</v>
      </c>
      <c r="AW64">
        <f t="shared" si="23"/>
        <v>0</v>
      </c>
      <c r="AX64">
        <f t="shared" si="24"/>
        <v>0</v>
      </c>
      <c r="AY64">
        <f t="shared" si="25"/>
        <v>0</v>
      </c>
      <c r="AZ64">
        <f t="shared" si="26"/>
        <v>0</v>
      </c>
      <c r="BA64"/>
      <c r="BB64"/>
      <c r="BD64"/>
      <c r="BE64"/>
      <c r="BF64"/>
      <c r="BG64"/>
    </row>
    <row r="65" spans="1:59" ht="15" x14ac:dyDescent="0.2">
      <c r="A65" s="43">
        <v>5</v>
      </c>
      <c r="B65" s="45" t="str">
        <f>IF('Навигатор накоплений'!A34="","",EDATE('Навигатор накоплений'!C34,A65-1))</f>
        <v/>
      </c>
      <c r="C65" s="45" t="str">
        <f>IF(B65="","",EDATE('Навигатор накоплений'!C34,A65))</f>
        <v/>
      </c>
      <c r="D65" s="46" t="str">
        <f t="shared" si="32"/>
        <v/>
      </c>
      <c r="E65" s="46" t="str">
        <f>IF(B65="","",N('Навигатор накоплений'!G34))</f>
        <v/>
      </c>
      <c r="F65" s="46" t="str">
        <f>IF(B65="","",IF('Навигатор накоплений'!F34="Ежедневный остаток",D65+E65,D65))</f>
        <v/>
      </c>
      <c r="G65" s="48" t="str">
        <f t="shared" si="30"/>
        <v/>
      </c>
      <c r="H65" s="46" t="str">
        <f>IF(B65="","",ROUND(F65*'Навигатор накоплений'!E34*IF(YEAR(B65)=YEAR(C65-1),(C65-B65)/(DATE(YEAR(B65),12,31)-DATE(YEAR(B65),1,1)+1),(DATE(YEAR(B65)+1,1,1)-B65)/(DATE(YEAR(B65),12,31)-DATE(YEAR(B65),1,1)+1)+(C65-DATE(YEAR(C65),1,1))/(DATE(YEAR(C65),12,31)-DATE(YEAR(C65),1,1)+1)),2))</f>
        <v/>
      </c>
      <c r="I65" s="46" t="str">
        <f t="shared" si="31"/>
        <v/>
      </c>
      <c r="K65" s="45" t="str">
        <f>IF('Навигатор накоплений'!A22="","",IF(59&lt;=DATEDIF('Навигатор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накоплений'!F22,1,0),L64,""))</f>
        <v/>
      </c>
      <c r="L65" s="45" t="str">
        <f>IF(K65="","",MIN(EDATE('Навигатор накоплений'!E22,59),'Навигатор накоплений'!F22))</f>
        <v/>
      </c>
      <c r="M65" s="46" t="str">
        <f>IF(K65="","",ROUND(N64*'Навигатор накоплений'!D22*IF(YEAR(K65)=YEAR(L65-1),(L65-K65)/(DATE(YEAR(K65),12,31)-DATE(YEAR(K65),1,1)+1),(DATE(YEAR(K65)+1,1,1)-K65)/(DATE(YEAR(K65),12,31)-DATE(YEAR(K65),1,1)+1)+(L65-DATE(YEAR(L65),1,1))/(DATE(YEAR(L65),12,31)-DATE(YEAR(L65),1,1)+1)),2))</f>
        <v/>
      </c>
      <c r="N65" s="46" t="str">
        <f>IF(K65="","",ROUND(N64+M65+IF(L65&lt;'Навигатор накоплений'!F22,N('Навигатор накоплений'!G22),0),2))</f>
        <v/>
      </c>
      <c r="P65" s="45" t="str">
        <f>IF('Навигатор накоплений'!A23="","",IF(59&lt;=DATEDIF('Навигатор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накоплений'!F23,1,0),Q64,""))</f>
        <v/>
      </c>
      <c r="Q65" s="45" t="str">
        <f>IF(P65="","",MIN(EDATE('Навигатор накоплений'!E23,59),'Навигатор накоплений'!F23))</f>
        <v/>
      </c>
      <c r="R65" s="46" t="str">
        <f>IF(P65="","",ROUND(S64*'Навигатор накоплений'!D23*IF(YEAR(P65)=YEAR(Q65-1),(Q65-P65)/(DATE(YEAR(P65),12,31)-DATE(YEAR(P65),1,1)+1),(DATE(YEAR(P65)+1,1,1)-P65)/(DATE(YEAR(P65),12,31)-DATE(YEAR(P65),1,1)+1)+(Q65-DATE(YEAR(Q65),1,1))/(DATE(YEAR(Q65),12,31)-DATE(YEAR(Q65),1,1)+1)),2))</f>
        <v/>
      </c>
      <c r="S65" s="46" t="str">
        <f>IF(P65="","",ROUND(S64+R65+IF(Q65&lt;'Навигатор накоплений'!F23,N('Навигатор накоплений'!G23),0),2))</f>
        <v/>
      </c>
      <c r="U65" s="45" t="str">
        <f>IF('Навигатор накоплений'!A24="","",IF(59&lt;=DATEDIF('Навигатор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накоплений'!F24,1,0),V64,""))</f>
        <v/>
      </c>
      <c r="V65" s="45" t="str">
        <f>IF(U65="","",MIN(EDATE('Навигатор накоплений'!E24,59),'Навигатор накоплений'!F24))</f>
        <v/>
      </c>
      <c r="W65" s="46" t="str">
        <f>IF(U65="","",ROUND(X64*'Навигатор накоплений'!D24*IF(YEAR(U65)=YEAR(V65-1),(V65-U65)/(DATE(YEAR(U65),12,31)-DATE(YEAR(U65),1,1)+1),(DATE(YEAR(U65)+1,1,1)-U65)/(DATE(YEAR(U65),12,31)-DATE(YEAR(U65),1,1)+1)+(V65-DATE(YEAR(V65),1,1))/(DATE(YEAR(V65),12,31)-DATE(YEAR(V65),1,1)+1)),2))</f>
        <v/>
      </c>
      <c r="X65" s="46" t="str">
        <f>IF(U65="","",ROUND(X64+W65+IF(V65&lt;'Навигатор накоплений'!F24,N('Навигатор накоплений'!G24),0),2))</f>
        <v/>
      </c>
      <c r="Z65" s="45" t="str">
        <f>IF('Навигатор накоплений'!A25="","",IF(59&lt;=DATEDIF('Навигатор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накоплений'!F25,1,0),AA64,""))</f>
        <v/>
      </c>
      <c r="AA65" s="45" t="str">
        <f>IF(Z65="","",MIN(EDATE('Навигатор накоплений'!E25,59),'Навигатор накоплений'!F25))</f>
        <v/>
      </c>
      <c r="AB65" s="46" t="str">
        <f>IF(Z65="","",ROUND(AC64*'Навигатор накоплений'!D25*IF(YEAR(Z65)=YEAR(AA65-1),(AA65-Z65)/(DATE(YEAR(Z65),12,31)-DATE(YEAR(Z65),1,1)+1),(DATE(YEAR(Z65)+1,1,1)-Z65)/(DATE(YEAR(Z65),12,31)-DATE(YEAR(Z65),1,1)+1)+(AA65-DATE(YEAR(AA65),1,1))/(DATE(YEAR(AA65),12,31)-DATE(YEAR(AA65),1,1)+1)),2))</f>
        <v/>
      </c>
      <c r="AC65" s="46" t="str">
        <f>IF(Z65="","",ROUND(AC64+AB65+IF(AA65&lt;'Навигатор накоплений'!F25,N('Навигатор накоплений'!G25),0),2))</f>
        <v/>
      </c>
      <c r="AE65" t="str">
        <f>IF('Навигатор накоплений'!A26="","",IF(59&lt;=DATEDIF('Навигатор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накоплений'!F26,1,0),AF64,""))</f>
        <v/>
      </c>
      <c r="AF65" t="str">
        <f>IF(AE65="","",MIN(EDATE('Навигатор накоплений'!E26,59),'Навигатор накоплений'!F26))</f>
        <v/>
      </c>
      <c r="AG65" t="str">
        <f>IF(AE65="","",ROUND(AH64*'Навигатор накоплений'!D26*IF(YEAR(AE65)=YEAR(AF65-1),(AF65-AE65)/(DATE(YEAR(AE65),12,31)-DATE(YEAR(AE65),1,1)+1),(DATE(YEAR(AE65)+1,1,1)-AE65)/(DATE(YEAR(AE65),12,31)-DATE(YEAR(AE65),1,1)+1)+(AF65-DATE(YEAR(AF65),1,1))/(DATE(YEAR(AF65),12,31)-DATE(YEAR(AF65),1,1)+1)),2))</f>
        <v/>
      </c>
      <c r="AH65" t="str">
        <f>IF(AE65="","",ROUND(AH64+AG65+IF(AF65&lt;'Навигатор накоплений'!F26,N('Навигатор накоплений'!G26),0),2))</f>
        <v/>
      </c>
      <c r="AJ65" t="str">
        <f>IF('Навигатор накоплений'!A27="","",IF(59&lt;=DATEDIF('Навигатор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накоплений'!F27,1,0),AK64,""))</f>
        <v/>
      </c>
      <c r="AK65" t="str">
        <f>IF(AJ65="","",MIN(EDATE('Навигатор накоплений'!E27,59),'Навигатор накоплений'!F27))</f>
        <v/>
      </c>
      <c r="AL65" t="str">
        <f>IF(AJ65="","",ROUND(AM64*'Навигатор накоплений'!D27*IF(YEAR(AJ65)=YEAR(AK65-1),(AK65-AJ65)/(DATE(YEAR(AJ65),12,31)-DATE(YEAR(AJ65),1,1)+1),(DATE(YEAR(AJ65)+1,1,1)-AJ65)/(DATE(YEAR(AJ65),12,31)-DATE(YEAR(AJ65),1,1)+1)+(AK65-DATE(YEAR(AK65),1,1))/(DATE(YEAR(AK65),12,31)-DATE(YEAR(AK65),1,1)+1)),2))</f>
        <v/>
      </c>
      <c r="AM65" t="str">
        <f>IF(AJ65="","",ROUND(AM64+AL65+IF(AK65&lt;'Навигатор накоплений'!F27,N('Навигатор накоплений'!G27),0),2))</f>
        <v/>
      </c>
      <c r="AO65" t="str">
        <f>IF('Навигатор накоплений'!A28="","",IF(59&lt;=DATEDIF('Навигатор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накоплений'!F28,1,0),AP64,""))</f>
        <v/>
      </c>
      <c r="AP65" t="str">
        <f>IF(AO65="","",MIN(EDATE('Навигатор накоплений'!E28,59),'Навигатор накоплений'!F28))</f>
        <v/>
      </c>
      <c r="AQ65" t="str">
        <f>IF(AO65="","",ROUND(AR64*'Навигатор накоплений'!D28*IF(YEAR(AO65)=YEAR(AP65-1),(AP65-AO65)/(DATE(YEAR(AO65),12,31)-DATE(YEAR(AO65),1,1)+1),(DATE(YEAR(AO65)+1,1,1)-AO65)/(DATE(YEAR(AO65),12,31)-DATE(YEAR(AO65),1,1)+1)+(AP65-DATE(YEAR(AP65),1,1))/(DATE(YEAR(AP65),12,31)-DATE(YEAR(AP65),1,1)+1)),2))</f>
        <v/>
      </c>
      <c r="AR65" t="str">
        <f>IF(AO65="","",ROUND(AR64+AQ65+IF(AP65&lt;'Навигатор накоплений'!F28,N('Навигатор накоплений'!G28),0),2))</f>
        <v/>
      </c>
      <c r="AT65">
        <f t="shared" si="20"/>
        <v>0</v>
      </c>
      <c r="AU65">
        <f t="shared" si="21"/>
        <v>0</v>
      </c>
      <c r="AV65">
        <f t="shared" si="22"/>
        <v>0</v>
      </c>
      <c r="AW65">
        <f t="shared" si="23"/>
        <v>0</v>
      </c>
      <c r="AX65">
        <f t="shared" si="24"/>
        <v>0</v>
      </c>
      <c r="AY65">
        <f t="shared" si="25"/>
        <v>0</v>
      </c>
      <c r="AZ65">
        <f t="shared" si="26"/>
        <v>0</v>
      </c>
      <c r="BA65"/>
      <c r="BB65"/>
      <c r="BD65"/>
      <c r="BE65"/>
      <c r="BF65"/>
      <c r="BG65"/>
    </row>
    <row r="66" spans="1:59" ht="15" x14ac:dyDescent="0.2">
      <c r="A66" s="43">
        <v>6</v>
      </c>
      <c r="B66" s="45" t="str">
        <f>IF('Навигатор накоплений'!A34="","",EDATE('Навигатор накоплений'!C34,A66-1))</f>
        <v/>
      </c>
      <c r="C66" s="45" t="str">
        <f>IF(B66="","",EDATE('Навигатор накоплений'!C34,A66))</f>
        <v/>
      </c>
      <c r="D66" s="46" t="str">
        <f t="shared" si="32"/>
        <v/>
      </c>
      <c r="E66" s="46" t="str">
        <f>IF(B66="","",N('Навигатор накоплений'!G34))</f>
        <v/>
      </c>
      <c r="F66" s="46" t="str">
        <f>IF(B66="","",IF('Навигатор накоплений'!F34="Ежедневный остаток",D66+E66,D66))</f>
        <v/>
      </c>
      <c r="G66" s="48" t="str">
        <f t="shared" si="30"/>
        <v/>
      </c>
      <c r="H66" s="46" t="str">
        <f>IF(B66="","",ROUND(F66*'Навигатор накоплений'!E34*IF(YEAR(B66)=YEAR(C66-1),(C66-B66)/(DATE(YEAR(B66),12,31)-DATE(YEAR(B66),1,1)+1),(DATE(YEAR(B66)+1,1,1)-B66)/(DATE(YEAR(B66),12,31)-DATE(YEAR(B66),1,1)+1)+(C66-DATE(YEAR(C66),1,1))/(DATE(YEAR(C66),12,31)-DATE(YEAR(C66),1,1)+1)),2))</f>
        <v/>
      </c>
      <c r="I66" s="46" t="str">
        <f t="shared" si="31"/>
        <v/>
      </c>
      <c r="K66" s="45" t="str">
        <f>IF('Навигатор накоплений'!A22="","",IF(60&lt;=DATEDIF('Навигатор накоплений'!E22,'Навигатор накоплений'!F22,"m")+IF(EDATE('Навигатор накоплений'!E22,DATEDIF('Навигатор накоплений'!E22,'Навигатор накоплений'!F22,"m"))&lt;'Навигатор накоплений'!F22,1,0),L65,""))</f>
        <v/>
      </c>
      <c r="L66" s="45" t="str">
        <f>IF(K66="","",MIN(EDATE('Навигатор накоплений'!E22,60),'Навигатор накоплений'!F22))</f>
        <v/>
      </c>
      <c r="M66" s="46" t="str">
        <f>IF(K66="","",ROUND(N65*'Навигатор накоплений'!D22*IF(YEAR(K66)=YEAR(L66-1),(L66-K66)/(DATE(YEAR(K66),12,31)-DATE(YEAR(K66),1,1)+1),(DATE(YEAR(K66)+1,1,1)-K66)/(DATE(YEAR(K66),12,31)-DATE(YEAR(K66),1,1)+1)+(L66-DATE(YEAR(L66),1,1))/(DATE(YEAR(L66),12,31)-DATE(YEAR(L66),1,1)+1)),2))</f>
        <v/>
      </c>
      <c r="N66" s="46" t="str">
        <f>IF(K66="","",ROUND(N65+M66+IF(L66&lt;'Навигатор накоплений'!F22,N('Навигатор накоплений'!G22),0),2))</f>
        <v/>
      </c>
      <c r="P66" s="45" t="str">
        <f>IF('Навигатор накоплений'!A23="","",IF(60&lt;=DATEDIF('Навигатор накоплений'!E23,'Навигатор накоплений'!F23,"m")+IF(EDATE('Навигатор накоплений'!E23,DATEDIF('Навигатор накоплений'!E23,'Навигатор накоплений'!F23,"m"))&lt;'Навигатор накоплений'!F23,1,0),Q65,""))</f>
        <v/>
      </c>
      <c r="Q66" s="45" t="str">
        <f>IF(P66="","",MIN(EDATE('Навигатор накоплений'!E23,60),'Навигатор накоплений'!F23))</f>
        <v/>
      </c>
      <c r="R66" s="46" t="str">
        <f>IF(P66="","",ROUND(S65*'Навигатор накоплений'!D23*IF(YEAR(P66)=YEAR(Q66-1),(Q66-P66)/(DATE(YEAR(P66),12,31)-DATE(YEAR(P66),1,1)+1),(DATE(YEAR(P66)+1,1,1)-P66)/(DATE(YEAR(P66),12,31)-DATE(YEAR(P66),1,1)+1)+(Q66-DATE(YEAR(Q66),1,1))/(DATE(YEAR(Q66),12,31)-DATE(YEAR(Q66),1,1)+1)),2))</f>
        <v/>
      </c>
      <c r="S66" s="46" t="str">
        <f>IF(P66="","",ROUND(S65+R66+IF(Q66&lt;'Навигатор накоплений'!F23,N('Навигатор накоплений'!G23),0),2))</f>
        <v/>
      </c>
      <c r="U66" s="45" t="str">
        <f>IF('Навигатор накоплений'!A24="","",IF(60&lt;=DATEDIF('Навигатор накоплений'!E24,'Навигатор накоплений'!F24,"m")+IF(EDATE('Навигатор накоплений'!E24,DATEDIF('Навигатор накоплений'!E24,'Навигатор накоплений'!F24,"m"))&lt;'Навигатор накоплений'!F24,1,0),V65,""))</f>
        <v/>
      </c>
      <c r="V66" s="45" t="str">
        <f>IF(U66="","",MIN(EDATE('Навигатор накоплений'!E24,60),'Навигатор накоплений'!F24))</f>
        <v/>
      </c>
      <c r="W66" s="46" t="str">
        <f>IF(U66="","",ROUND(X65*'Навигатор накоплений'!D24*IF(YEAR(U66)=YEAR(V66-1),(V66-U66)/(DATE(YEAR(U66),12,31)-DATE(YEAR(U66),1,1)+1),(DATE(YEAR(U66)+1,1,1)-U66)/(DATE(YEAR(U66),12,31)-DATE(YEAR(U66),1,1)+1)+(V66-DATE(YEAR(V66),1,1))/(DATE(YEAR(V66),12,31)-DATE(YEAR(V66),1,1)+1)),2))</f>
        <v/>
      </c>
      <c r="X66" s="46" t="str">
        <f>IF(U66="","",ROUND(X65+W66+IF(V66&lt;'Навигатор накоплений'!F24,N('Навигатор накоплений'!G24),0),2))</f>
        <v/>
      </c>
      <c r="Z66" s="45" t="str">
        <f>IF('Навигатор накоплений'!A25="","",IF(60&lt;=DATEDIF('Навигатор накоплений'!E25,'Навигатор накоплений'!F25,"m")+IF(EDATE('Навигатор накоплений'!E25,DATEDIF('Навигатор накоплений'!E25,'Навигатор накоплений'!F25,"m"))&lt;'Навигатор накоплений'!F25,1,0),AA65,""))</f>
        <v/>
      </c>
      <c r="AA66" s="45" t="str">
        <f>IF(Z66="","",MIN(EDATE('Навигатор накоплений'!E25,60),'Навигатор накоплений'!F25))</f>
        <v/>
      </c>
      <c r="AB66" s="46" t="str">
        <f>IF(Z66="","",ROUND(AC65*'Навигатор накоплений'!D25*IF(YEAR(Z66)=YEAR(AA66-1),(AA66-Z66)/(DATE(YEAR(Z66),12,31)-DATE(YEAR(Z66),1,1)+1),(DATE(YEAR(Z66)+1,1,1)-Z66)/(DATE(YEAR(Z66),12,31)-DATE(YEAR(Z66),1,1)+1)+(AA66-DATE(YEAR(AA66),1,1))/(DATE(YEAR(AA66),12,31)-DATE(YEAR(AA66),1,1)+1)),2))</f>
        <v/>
      </c>
      <c r="AC66" s="46" t="str">
        <f>IF(Z66="","",ROUND(AC65+AB66+IF(AA66&lt;'Навигатор накоплений'!F25,N('Навигатор накоплений'!G25),0),2))</f>
        <v/>
      </c>
      <c r="AE66" t="str">
        <f>IF('Навигатор накоплений'!A26="","",IF(60&lt;=DATEDIF('Навигатор накоплений'!E26,'Навигатор накоплений'!F26,"m")+IF(EDATE('Навигатор накоплений'!E26,DATEDIF('Навигатор накоплений'!E26,'Навигатор накоплений'!F26,"m"))&lt;'Навигатор накоплений'!F26,1,0),AF65,""))</f>
        <v/>
      </c>
      <c r="AF66" t="str">
        <f>IF(AE66="","",MIN(EDATE('Навигатор накоплений'!E26,60),'Навигатор накоплений'!F26))</f>
        <v/>
      </c>
      <c r="AG66" t="str">
        <f>IF(AE66="","",ROUND(AH65*'Навигатор накоплений'!D26*IF(YEAR(AE66)=YEAR(AF66-1),(AF66-AE66)/(DATE(YEAR(AE66),12,31)-DATE(YEAR(AE66),1,1)+1),(DATE(YEAR(AE66)+1,1,1)-AE66)/(DATE(YEAR(AE66),12,31)-DATE(YEAR(AE66),1,1)+1)+(AF66-DATE(YEAR(AF66),1,1))/(DATE(YEAR(AF66),12,31)-DATE(YEAR(AF66),1,1)+1)),2))</f>
        <v/>
      </c>
      <c r="AH66" t="str">
        <f>IF(AE66="","",ROUND(AH65+AG66+IF(AF66&lt;'Навигатор накоплений'!F26,N('Навигатор накоплений'!G26),0),2))</f>
        <v/>
      </c>
      <c r="AJ66" t="str">
        <f>IF('Навигатор накоплений'!A27="","",IF(60&lt;=DATEDIF('Навигатор накоплений'!E27,'Навигатор накоплений'!F27,"m")+IF(EDATE('Навигатор накоплений'!E27,DATEDIF('Навигатор накоплений'!E27,'Навигатор накоплений'!F27,"m"))&lt;'Навигатор накоплений'!F27,1,0),AK65,""))</f>
        <v/>
      </c>
      <c r="AK66" t="str">
        <f>IF(AJ66="","",MIN(EDATE('Навигатор накоплений'!E27,60),'Навигатор накоплений'!F27))</f>
        <v/>
      </c>
      <c r="AL66" t="str">
        <f>IF(AJ66="","",ROUND(AM65*'Навигатор накоплений'!D27*IF(YEAR(AJ66)=YEAR(AK66-1),(AK66-AJ66)/(DATE(YEAR(AJ66),12,31)-DATE(YEAR(AJ66),1,1)+1),(DATE(YEAR(AJ66)+1,1,1)-AJ66)/(DATE(YEAR(AJ66),12,31)-DATE(YEAR(AJ66),1,1)+1)+(AK66-DATE(YEAR(AK66),1,1))/(DATE(YEAR(AK66),12,31)-DATE(YEAR(AK66),1,1)+1)),2))</f>
        <v/>
      </c>
      <c r="AM66" t="str">
        <f>IF(AJ66="","",ROUND(AM65+AL66+IF(AK66&lt;'Навигатор накоплений'!F27,N('Навигатор накоплений'!G27),0),2))</f>
        <v/>
      </c>
      <c r="AO66" t="str">
        <f>IF('Навигатор накоплений'!A28="","",IF(60&lt;=DATEDIF('Навигатор накоплений'!E28,'Навигатор накоплений'!F28,"m")+IF(EDATE('Навигатор накоплений'!E28,DATEDIF('Навигатор накоплений'!E28,'Навигатор накоплений'!F28,"m"))&lt;'Навигатор накоплений'!F28,1,0),AP65,""))</f>
        <v/>
      </c>
      <c r="AP66" t="str">
        <f>IF(AO66="","",MIN(EDATE('Навигатор накоплений'!E28,60),'Навигатор накоплений'!F28))</f>
        <v/>
      </c>
      <c r="AQ66" t="str">
        <f>IF(AO66="","",ROUND(AR65*'Навигатор накоплений'!D28*IF(YEAR(AO66)=YEAR(AP66-1),(AP66-AO66)/(DATE(YEAR(AO66),12,31)-DATE(YEAR(AO66),1,1)+1),(DATE(YEAR(AO66)+1,1,1)-AO66)/(DATE(YEAR(AO66),12,31)-DATE(YEAR(AO66),1,1)+1)+(AP66-DATE(YEAR(AP66),1,1))/(DATE(YEAR(AP66),12,31)-DATE(YEAR(AP66),1,1)+1)),2))</f>
        <v/>
      </c>
      <c r="AR66" t="str">
        <f>IF(AO66="","",ROUND(AR65+AQ66+IF(AP66&lt;'Навигатор накоплений'!F28,N('Навигатор накоплений'!G28),0),2))</f>
        <v/>
      </c>
      <c r="AT66">
        <f t="shared" si="20"/>
        <v>0</v>
      </c>
      <c r="AU66">
        <f t="shared" si="21"/>
        <v>0</v>
      </c>
      <c r="AV66">
        <f t="shared" si="22"/>
        <v>0</v>
      </c>
      <c r="AW66">
        <f t="shared" si="23"/>
        <v>0</v>
      </c>
      <c r="AX66">
        <f t="shared" si="24"/>
        <v>0</v>
      </c>
      <c r="AY66">
        <f t="shared" si="25"/>
        <v>0</v>
      </c>
      <c r="AZ66">
        <f t="shared" si="26"/>
        <v>0</v>
      </c>
      <c r="BA66"/>
      <c r="BB66"/>
      <c r="BD66"/>
      <c r="BE66"/>
      <c r="BF66"/>
      <c r="BG66"/>
    </row>
    <row r="67" spans="1:59" ht="15" x14ac:dyDescent="0.2">
      <c r="A67" s="43">
        <v>7</v>
      </c>
      <c r="B67" s="45" t="str">
        <f>IF('Навигатор накоплений'!A34="","",EDATE('Навигатор накоплений'!C34,A67-1))</f>
        <v/>
      </c>
      <c r="C67" s="45" t="str">
        <f>IF(B67="","",EDATE('Навигатор накоплений'!C34,A67))</f>
        <v/>
      </c>
      <c r="D67" s="46" t="str">
        <f t="shared" si="32"/>
        <v/>
      </c>
      <c r="E67" s="46" t="str">
        <f>IF(B67="","",N('Навигатор накоплений'!G34))</f>
        <v/>
      </c>
      <c r="F67" s="46" t="str">
        <f>IF(B67="","",IF('Навигатор накоплений'!F34="Ежедневный остаток",D67+E67,D67))</f>
        <v/>
      </c>
      <c r="G67" s="48" t="str">
        <f t="shared" si="30"/>
        <v/>
      </c>
      <c r="H67" s="46" t="str">
        <f>IF(B67="","",ROUND(F67*'Навигатор накоплений'!E34*IF(YEAR(B67)=YEAR(C67-1),(C67-B67)/(DATE(YEAR(B67),12,31)-DATE(YEAR(B67),1,1)+1),(DATE(YEAR(B67)+1,1,1)-B67)/(DATE(YEAR(B67),12,31)-DATE(YEAR(B67),1,1)+1)+(C67-DATE(YEAR(C67),1,1))/(DATE(YEAR(C67),12,31)-DATE(YEAR(C67),1,1)+1)),2))</f>
        <v/>
      </c>
      <c r="I67" s="46" t="str">
        <f t="shared" si="31"/>
        <v/>
      </c>
      <c r="K67" s="104" t="s">
        <v>60</v>
      </c>
      <c r="L67" s="104"/>
      <c r="M67" s="46" t="str">
        <f>IF('Навигатор накоплений'!A22="","",SUM(M7:M66))</f>
        <v/>
      </c>
      <c r="N67" s="46" t="str">
        <f>IF('Навигатор накоплений'!A22="","",IF(COUNT(K7:K66)=0,"",INDEX(N7:N66,COUNT(K7:K66))))</f>
        <v/>
      </c>
      <c r="P67" s="104" t="s">
        <v>60</v>
      </c>
      <c r="Q67" s="104"/>
      <c r="R67" s="46" t="str">
        <f>IF('Навигатор накоплений'!A23="","",SUM(R7:R66))</f>
        <v/>
      </c>
      <c r="S67" s="46" t="str">
        <f>IF('Навигатор накоплений'!A23="","",IF(COUNT(P7:P66)=0,"",INDEX(S7:S66,COUNT(P7:P66))))</f>
        <v/>
      </c>
      <c r="U67" s="104" t="s">
        <v>60</v>
      </c>
      <c r="V67" s="104"/>
      <c r="W67" s="46" t="str">
        <f>IF('Навигатор накоплений'!A24="","",SUM(W7:W66))</f>
        <v/>
      </c>
      <c r="X67" s="46" t="str">
        <f>IF('Навигатор накоплений'!A24="","",IF(COUNT(U7:U66)=0,"",INDEX(X7:X66,COUNT(U7:U66))))</f>
        <v/>
      </c>
      <c r="Z67" s="104" t="s">
        <v>60</v>
      </c>
      <c r="AA67" s="104"/>
      <c r="AB67" s="46" t="str">
        <f>IF('Навигатор накоплений'!A25="","",SUM(AB7:AB66))</f>
        <v/>
      </c>
      <c r="AC67" s="46" t="str">
        <f>IF('Навигатор накоплений'!A25="","",IF(COUNT(Z7:Z66)=0,"",INDEX(AC7:AC66,COUNT(Z7:Z66))))</f>
        <v/>
      </c>
      <c r="AE67" s="104" t="s">
        <v>60</v>
      </c>
      <c r="AF67" s="104"/>
      <c r="AG67" s="46" t="str">
        <f>IF('Навигатор накоплений'!A26="","",SUM(AG7:AG66))</f>
        <v/>
      </c>
      <c r="AH67" s="46" t="str">
        <f>IF('Навигатор накоплений'!A26="","",IF(COUNT(AE7:AE66)=0,"",INDEX(AH7:AH66,COUNT(AE7:AE66))))</f>
        <v/>
      </c>
      <c r="AJ67" s="104" t="s">
        <v>60</v>
      </c>
      <c r="AK67" s="104"/>
      <c r="AL67" s="46" t="str">
        <f>IF('Навигатор накоплений'!A27="","",SUM(AL7:AL66))</f>
        <v/>
      </c>
      <c r="AM67" s="46" t="str">
        <f>IF('Навигатор накоплений'!A27="","",IF(COUNT(AJ7:AJ66)=0,"",INDEX(AM7:AM66,COUNT(AJ7:AJ66))))</f>
        <v/>
      </c>
      <c r="AO67" t="s">
        <v>60</v>
      </c>
      <c r="AP67"/>
      <c r="AQ67" t="str">
        <f>IF('Навигатор накоплений'!A28="","",SUM(AQ7:AQ66))</f>
        <v/>
      </c>
      <c r="AR67" t="str">
        <f>IF('Навигатор накоплений'!A28="","",IF(COUNT(AO7:AO66)=0,"",INDEX(AR7:AR66,COUNT(AO7:AO66))))</f>
        <v/>
      </c>
      <c r="AT67">
        <f t="shared" ref="AT67:AZ67" si="33">SUM(AT7:AT66)</f>
        <v>0</v>
      </c>
      <c r="AU67">
        <f t="shared" si="33"/>
        <v>0</v>
      </c>
      <c r="AV67">
        <f t="shared" si="33"/>
        <v>0</v>
      </c>
      <c r="AW67">
        <f t="shared" si="33"/>
        <v>0</v>
      </c>
      <c r="AX67">
        <f t="shared" si="33"/>
        <v>0</v>
      </c>
      <c r="AY67">
        <f t="shared" si="33"/>
        <v>0</v>
      </c>
      <c r="AZ67">
        <f t="shared" si="33"/>
        <v>0</v>
      </c>
      <c r="BA67"/>
      <c r="BB67"/>
      <c r="BD67"/>
      <c r="BE67"/>
      <c r="BF67"/>
      <c r="BG67"/>
    </row>
    <row r="68" spans="1:59" ht="15" x14ac:dyDescent="0.2">
      <c r="A68" s="43">
        <v>8</v>
      </c>
      <c r="B68" s="45" t="str">
        <f>IF('Навигатор накоплений'!A34="","",EDATE('Навигатор накоплений'!C34,A68-1))</f>
        <v/>
      </c>
      <c r="C68" s="45" t="str">
        <f>IF(B68="","",EDATE('Навигатор накоплений'!C34,A68))</f>
        <v/>
      </c>
      <c r="D68" s="46" t="str">
        <f t="shared" si="32"/>
        <v/>
      </c>
      <c r="E68" s="46" t="str">
        <f>IF(B68="","",N('Навигатор накоплений'!G34))</f>
        <v/>
      </c>
      <c r="F68" s="46" t="str">
        <f>IF(B68="","",IF('Навигатор накоплений'!F34="Ежедневный остаток",D68+E68,D68))</f>
        <v/>
      </c>
      <c r="G68" s="48" t="str">
        <f t="shared" si="30"/>
        <v/>
      </c>
      <c r="H68" s="46" t="str">
        <f>IF(B68="","",ROUND(F68*'Навигатор накоплений'!E34*IF(YEAR(B68)=YEAR(C68-1),(C68-B68)/(DATE(YEAR(B68),12,31)-DATE(YEAR(B68),1,1)+1),(DATE(YEAR(B68)+1,1,1)-B68)/(DATE(YEAR(B68),12,31)-DATE(YEAR(B68),1,1)+1)+(C68-DATE(YEAR(C68),1,1))/(DATE(YEAR(C68),12,31)-DATE(YEAR(C68),1,1)+1)),2))</f>
        <v/>
      </c>
      <c r="I68" s="46" t="str">
        <f t="shared" si="31"/>
        <v/>
      </c>
    </row>
    <row r="69" spans="1:59" ht="15" x14ac:dyDescent="0.2">
      <c r="A69" s="43">
        <v>9</v>
      </c>
      <c r="B69" s="45" t="str">
        <f>IF('Навигатор накоплений'!A34="","",EDATE('Навигатор накоплений'!C34,A69-1))</f>
        <v/>
      </c>
      <c r="C69" s="45" t="str">
        <f>IF(B69="","",EDATE('Навигатор накоплений'!C34,A69))</f>
        <v/>
      </c>
      <c r="D69" s="46" t="str">
        <f t="shared" si="32"/>
        <v/>
      </c>
      <c r="E69" s="46" t="str">
        <f>IF(B69="","",N('Навигатор накоплений'!G34))</f>
        <v/>
      </c>
      <c r="F69" s="46" t="str">
        <f>IF(B69="","",IF('Навигатор накоплений'!F34="Ежедневный остаток",D69+E69,D69))</f>
        <v/>
      </c>
      <c r="G69" s="48" t="str">
        <f t="shared" si="30"/>
        <v/>
      </c>
      <c r="H69" s="46" t="str">
        <f>IF(B69="","",ROUND(F69*'Навигатор накоплений'!E34*IF(YEAR(B69)=YEAR(C69-1),(C69-B69)/(DATE(YEAR(B69),12,31)-DATE(YEAR(B69),1,1)+1),(DATE(YEAR(B69)+1,1,1)-B69)/(DATE(YEAR(B69),12,31)-DATE(YEAR(B69),1,1)+1)+(C69-DATE(YEAR(C69),1,1))/(DATE(YEAR(C69),12,31)-DATE(YEAR(C69),1,1)+1)),2))</f>
        <v/>
      </c>
      <c r="I69" s="46" t="str">
        <f t="shared" si="31"/>
        <v/>
      </c>
    </row>
    <row r="70" spans="1:59" ht="15" x14ac:dyDescent="0.2">
      <c r="A70" s="43">
        <v>10</v>
      </c>
      <c r="B70" s="45" t="str">
        <f>IF('Навигатор накоплений'!A34="","",EDATE('Навигатор накоплений'!C34,A70-1))</f>
        <v/>
      </c>
      <c r="C70" s="45" t="str">
        <f>IF(B70="","",EDATE('Навигатор накоплений'!C34,A70))</f>
        <v/>
      </c>
      <c r="D70" s="46" t="str">
        <f t="shared" si="32"/>
        <v/>
      </c>
      <c r="E70" s="46" t="str">
        <f>IF(B70="","",N('Навигатор накоплений'!G34))</f>
        <v/>
      </c>
      <c r="F70" s="46" t="str">
        <f>IF(B70="","",IF('Навигатор накоплений'!F34="Ежедневный остаток",D70+E70,D70))</f>
        <v/>
      </c>
      <c r="G70" s="48" t="str">
        <f t="shared" si="30"/>
        <v/>
      </c>
      <c r="H70" s="46" t="str">
        <f>IF(B70="","",ROUND(F70*'Навигатор накоплений'!E34*IF(YEAR(B70)=YEAR(C70-1),(C70-B70)/(DATE(YEAR(B70),12,31)-DATE(YEAR(B70),1,1)+1),(DATE(YEAR(B70)+1,1,1)-B70)/(DATE(YEAR(B70),12,31)-DATE(YEAR(B70),1,1)+1)+(C70-DATE(YEAR(C70),1,1))/(DATE(YEAR(C70),12,31)-DATE(YEAR(C70),1,1)+1)),2))</f>
        <v/>
      </c>
      <c r="I70" s="46" t="str">
        <f t="shared" si="31"/>
        <v/>
      </c>
    </row>
    <row r="71" spans="1:59" ht="15" x14ac:dyDescent="0.2">
      <c r="A71" s="43">
        <v>11</v>
      </c>
      <c r="B71" s="45" t="str">
        <f>IF('Навигатор накоплений'!A34="","",EDATE('Навигатор накоплений'!C34,A71-1))</f>
        <v/>
      </c>
      <c r="C71" s="45" t="str">
        <f>IF(B71="","",EDATE('Навигатор накоплений'!C34,A71))</f>
        <v/>
      </c>
      <c r="D71" s="46" t="str">
        <f t="shared" si="32"/>
        <v/>
      </c>
      <c r="E71" s="46" t="str">
        <f>IF(B71="","",N('Навигатор накоплений'!G34))</f>
        <v/>
      </c>
      <c r="F71" s="46" t="str">
        <f>IF(B71="","",IF('Навигатор накоплений'!F34="Ежедневный остаток",D71+E71,D71))</f>
        <v/>
      </c>
      <c r="G71" s="48" t="str">
        <f t="shared" si="30"/>
        <v/>
      </c>
      <c r="H71" s="46" t="str">
        <f>IF(B71="","",ROUND(F71*'Навигатор накоплений'!E34*IF(YEAR(B71)=YEAR(C71-1),(C71-B71)/(DATE(YEAR(B71),12,31)-DATE(YEAR(B71),1,1)+1),(DATE(YEAR(B71)+1,1,1)-B71)/(DATE(YEAR(B71),12,31)-DATE(YEAR(B71),1,1)+1)+(C71-DATE(YEAR(C71),1,1))/(DATE(YEAR(C71),12,31)-DATE(YEAR(C71),1,1)+1)),2))</f>
        <v/>
      </c>
      <c r="I71" s="46" t="str">
        <f t="shared" si="31"/>
        <v/>
      </c>
    </row>
    <row r="72" spans="1:59" ht="15" x14ac:dyDescent="0.2">
      <c r="A72" s="43">
        <v>12</v>
      </c>
      <c r="B72" s="45" t="str">
        <f>IF('Навигатор накоплений'!A34="","",EDATE('Навигатор накоплений'!C34,A72-1))</f>
        <v/>
      </c>
      <c r="C72" s="45" t="str">
        <f>IF(B72="","",EDATE('Навигатор накоплений'!C34,A72))</f>
        <v/>
      </c>
      <c r="D72" s="46" t="str">
        <f t="shared" si="32"/>
        <v/>
      </c>
      <c r="E72" s="46" t="str">
        <f>IF(B72="","",N('Навигатор накоплений'!G34))</f>
        <v/>
      </c>
      <c r="F72" s="46" t="str">
        <f>IF(B72="","",IF('Навигатор накоплений'!F34="Ежедневный остаток",D72+E72,D72))</f>
        <v/>
      </c>
      <c r="G72" s="48" t="str">
        <f t="shared" si="30"/>
        <v/>
      </c>
      <c r="H72" s="46" t="str">
        <f>IF(B72="","",ROUND(F72*'Навигатор накоплений'!E34*IF(YEAR(B72)=YEAR(C72-1),(C72-B72)/(DATE(YEAR(B72),12,31)-DATE(YEAR(B72),1,1)+1),(DATE(YEAR(B72)+1,1,1)-B72)/(DATE(YEAR(B72),12,31)-DATE(YEAR(B72),1,1)+1)+(C72-DATE(YEAR(C72),1,1))/(DATE(YEAR(C72),12,31)-DATE(YEAR(C72),1,1)+1)),2))</f>
        <v/>
      </c>
      <c r="I72" s="46" t="str">
        <f t="shared" si="31"/>
        <v/>
      </c>
    </row>
    <row r="73" spans="1:59" x14ac:dyDescent="0.2">
      <c r="A73" s="105" t="s">
        <v>58</v>
      </c>
      <c r="B73" s="105"/>
      <c r="C73" s="105"/>
      <c r="D73" s="106"/>
      <c r="E73" s="49">
        <f>SUM(E61:E72)</f>
        <v>0</v>
      </c>
      <c r="F73" s="49" t="s">
        <v>59</v>
      </c>
      <c r="G73" s="50">
        <f>SUM(G61:G72)</f>
        <v>0</v>
      </c>
      <c r="H73" s="49" t="str">
        <f>IF('Навигатор накоплений'!A34="","",SUM(H61:H72))</f>
        <v/>
      </c>
      <c r="I73" s="49" t="str">
        <f>IF('Навигатор накоплений'!A34="","",I72)</f>
        <v/>
      </c>
    </row>
    <row r="76" spans="1:59" ht="15" x14ac:dyDescent="0.2">
      <c r="A76" s="100" t="str">
        <f>IF('Навигатор накоплений'!A35="","Счет не заполнен","Счет: "&amp;'Навигатор накоплений'!A35&amp;" — "&amp;'Навигатор накоплений'!B35)</f>
        <v>Счет не заполнен</v>
      </c>
      <c r="B76" s="100"/>
      <c r="C76" s="100"/>
      <c r="D76" s="100"/>
      <c r="E76" s="100"/>
      <c r="F76" s="100"/>
      <c r="G76" s="100"/>
      <c r="H76" s="100"/>
      <c r="I76" s="100"/>
    </row>
    <row r="77" spans="1:59" x14ac:dyDescent="0.2">
      <c r="A77" s="47" t="s">
        <v>53</v>
      </c>
      <c r="B77" s="47" t="s">
        <v>49</v>
      </c>
      <c r="C77" s="47" t="s">
        <v>50</v>
      </c>
      <c r="D77" s="47" t="s">
        <v>54</v>
      </c>
      <c r="E77" s="47" t="s">
        <v>55</v>
      </c>
      <c r="F77" s="47" t="s">
        <v>56</v>
      </c>
      <c r="G77" s="47" t="s">
        <v>57</v>
      </c>
      <c r="H77" s="47" t="s">
        <v>51</v>
      </c>
      <c r="I77" s="47" t="s">
        <v>52</v>
      </c>
    </row>
    <row r="78" spans="1:59" ht="15" x14ac:dyDescent="0.2">
      <c r="A78" s="43">
        <v>1</v>
      </c>
      <c r="B78" s="45" t="str">
        <f>IF('Навигатор накоплений'!A35="","",EDATE('Навигатор накоплений'!C35,A78-1))</f>
        <v/>
      </c>
      <c r="C78" s="45" t="str">
        <f>IF(B78="","",EDATE('Навигатор накоплений'!C35,A78))</f>
        <v/>
      </c>
      <c r="D78" s="46" t="str">
        <f>IF(B78="","",'Навигатор накоплений'!D35)</f>
        <v/>
      </c>
      <c r="E78" s="46" t="str">
        <f>IF(B78="","",N('Навигатор накоплений'!G35))</f>
        <v/>
      </c>
      <c r="F78" s="46" t="str">
        <f>IF(B78="","",IF('Навигатор накоплений'!F35="Ежедневный остаток",D78+E78,D78))</f>
        <v/>
      </c>
      <c r="G78" s="48" t="str">
        <f t="shared" ref="G78:G89" si="34">IF(B78="","",C78-B78)</f>
        <v/>
      </c>
      <c r="H78" s="46" t="str">
        <f>IF(B78="","",ROUND(F78*'Навигатор накоплений'!E35*IF(YEAR(B78)=YEAR(C78-1),(C78-B78)/(DATE(YEAR(B78),12,31)-DATE(YEAR(B78),1,1)+1),(DATE(YEAR(B78)+1,1,1)-B78)/(DATE(YEAR(B78),12,31)-DATE(YEAR(B78),1,1)+1)+(C78-DATE(YEAR(C78),1,1))/(DATE(YEAR(C78),12,31)-DATE(YEAR(C78),1,1)+1)),2))</f>
        <v/>
      </c>
      <c r="I78" s="46" t="str">
        <f t="shared" ref="I78:I89" si="35">IF(B78="","",ROUND(D78+E78+H78,2))</f>
        <v/>
      </c>
    </row>
    <row r="79" spans="1:59" ht="15" x14ac:dyDescent="0.2">
      <c r="A79" s="43">
        <v>2</v>
      </c>
      <c r="B79" s="45" t="str">
        <f>IF('Навигатор накоплений'!A35="","",EDATE('Навигатор накоплений'!C35,A79-1))</f>
        <v/>
      </c>
      <c r="C79" s="45" t="str">
        <f>IF(B79="","",EDATE('Навигатор накоплений'!C35,A79))</f>
        <v/>
      </c>
      <c r="D79" s="46" t="str">
        <f t="shared" ref="D79:D89" si="36">IF(B79="","",I78)</f>
        <v/>
      </c>
      <c r="E79" s="46" t="str">
        <f>IF(B79="","",N('Навигатор накоплений'!G35))</f>
        <v/>
      </c>
      <c r="F79" s="46" t="str">
        <f>IF(B79="","",IF('Навигатор накоплений'!F35="Ежедневный остаток",D79+E79,D79))</f>
        <v/>
      </c>
      <c r="G79" s="48" t="str">
        <f t="shared" si="34"/>
        <v/>
      </c>
      <c r="H79" s="46" t="str">
        <f>IF(B79="","",ROUND(F79*'Навигатор накоплений'!E35*IF(YEAR(B79)=YEAR(C79-1),(C79-B79)/(DATE(YEAR(B79),12,31)-DATE(YEAR(B79),1,1)+1),(DATE(YEAR(B79)+1,1,1)-B79)/(DATE(YEAR(B79),12,31)-DATE(YEAR(B79),1,1)+1)+(C79-DATE(YEAR(C79),1,1))/(DATE(YEAR(C79),12,31)-DATE(YEAR(C79),1,1)+1)),2))</f>
        <v/>
      </c>
      <c r="I79" s="46" t="str">
        <f t="shared" si="35"/>
        <v/>
      </c>
    </row>
    <row r="80" spans="1:59" ht="15" x14ac:dyDescent="0.2">
      <c r="A80" s="43">
        <v>3</v>
      </c>
      <c r="B80" s="45" t="str">
        <f>IF('Навигатор накоплений'!A35="","",EDATE('Навигатор накоплений'!C35,A80-1))</f>
        <v/>
      </c>
      <c r="C80" s="45" t="str">
        <f>IF(B80="","",EDATE('Навигатор накоплений'!C35,A80))</f>
        <v/>
      </c>
      <c r="D80" s="46" t="str">
        <f t="shared" si="36"/>
        <v/>
      </c>
      <c r="E80" s="46" t="str">
        <f>IF(B80="","",N('Навигатор накоплений'!G35))</f>
        <v/>
      </c>
      <c r="F80" s="46" t="str">
        <f>IF(B80="","",IF('Навигатор накоплений'!F35="Ежедневный остаток",D80+E80,D80))</f>
        <v/>
      </c>
      <c r="G80" s="48" t="str">
        <f t="shared" si="34"/>
        <v/>
      </c>
      <c r="H80" s="46" t="str">
        <f>IF(B80="","",ROUND(F80*'Навигатор накоплений'!E35*IF(YEAR(B80)=YEAR(C80-1),(C80-B80)/(DATE(YEAR(B80),12,31)-DATE(YEAR(B80),1,1)+1),(DATE(YEAR(B80)+1,1,1)-B80)/(DATE(YEAR(B80),12,31)-DATE(YEAR(B80),1,1)+1)+(C80-DATE(YEAR(C80),1,1))/(DATE(YEAR(C80),12,31)-DATE(YEAR(C80),1,1)+1)),2))</f>
        <v/>
      </c>
      <c r="I80" s="46" t="str">
        <f t="shared" si="35"/>
        <v/>
      </c>
    </row>
    <row r="81" spans="1:22" ht="15" x14ac:dyDescent="0.2">
      <c r="A81" s="43">
        <v>4</v>
      </c>
      <c r="B81" s="45" t="str">
        <f>IF('Навигатор накоплений'!A35="","",EDATE('Навигатор накоплений'!C35,A81-1))</f>
        <v/>
      </c>
      <c r="C81" s="45" t="str">
        <f>IF(B81="","",EDATE('Навигатор накоплений'!C35,A81))</f>
        <v/>
      </c>
      <c r="D81" s="46" t="str">
        <f t="shared" si="36"/>
        <v/>
      </c>
      <c r="E81" s="46" t="str">
        <f>IF(B81="","",N('Навигатор накоплений'!G35))</f>
        <v/>
      </c>
      <c r="F81" s="46" t="str">
        <f>IF(B81="","",IF('Навигатор накоплений'!F35="Ежедневный остаток",D81+E81,D81))</f>
        <v/>
      </c>
      <c r="G81" s="48" t="str">
        <f t="shared" si="34"/>
        <v/>
      </c>
      <c r="H81" s="46" t="str">
        <f>IF(B81="","",ROUND(F81*'Навигатор накоплений'!E35*IF(YEAR(B81)=YEAR(C81-1),(C81-B81)/(DATE(YEAR(B81),12,31)-DATE(YEAR(B81),1,1)+1),(DATE(YEAR(B81)+1,1,1)-B81)/(DATE(YEAR(B81),12,31)-DATE(YEAR(B81),1,1)+1)+(C81-DATE(YEAR(C81),1,1))/(DATE(YEAR(C81),12,31)-DATE(YEAR(C81),1,1)+1)),2))</f>
        <v/>
      </c>
      <c r="I81" s="46" t="str">
        <f t="shared" si="35"/>
        <v/>
      </c>
    </row>
    <row r="82" spans="1:22" ht="15" x14ac:dyDescent="0.2">
      <c r="A82" s="43">
        <v>5</v>
      </c>
      <c r="B82" s="45" t="str">
        <f>IF('Навигатор накоплений'!A35="","",EDATE('Навигатор накоплений'!C35,A82-1))</f>
        <v/>
      </c>
      <c r="C82" s="45" t="str">
        <f>IF(B82="","",EDATE('Навигатор накоплений'!C35,A82))</f>
        <v/>
      </c>
      <c r="D82" s="46" t="str">
        <f t="shared" si="36"/>
        <v/>
      </c>
      <c r="E82" s="46" t="str">
        <f>IF(B82="","",N('Навигатор накоплений'!G35))</f>
        <v/>
      </c>
      <c r="F82" s="46" t="str">
        <f>IF(B82="","",IF('Навигатор накоплений'!F35="Ежедневный остаток",D82+E82,D82))</f>
        <v/>
      </c>
      <c r="G82" s="48" t="str">
        <f t="shared" si="34"/>
        <v/>
      </c>
      <c r="H82" s="46" t="str">
        <f>IF(B82="","",ROUND(F82*'Навигатор накоплений'!E35*IF(YEAR(B82)=YEAR(C82-1),(C82-B82)/(DATE(YEAR(B82),12,31)-DATE(YEAR(B82),1,1)+1),(DATE(YEAR(B82)+1,1,1)-B82)/(DATE(YEAR(B82),12,31)-DATE(YEAR(B82),1,1)+1)+(C82-DATE(YEAR(C82),1,1))/(DATE(YEAR(C82),12,31)-DATE(YEAR(C82),1,1)+1)),2))</f>
        <v/>
      </c>
      <c r="I82" s="46" t="str">
        <f t="shared" si="35"/>
        <v/>
      </c>
      <c r="K82" s="45"/>
      <c r="L82" s="45"/>
      <c r="M82" s="46"/>
      <c r="N82" s="45"/>
      <c r="O82" s="45"/>
      <c r="P82" s="46"/>
      <c r="Q82" s="45"/>
      <c r="R82" s="45"/>
      <c r="S82" s="46"/>
      <c r="T82" s="45"/>
      <c r="U82" s="45"/>
      <c r="V82" s="46"/>
    </row>
    <row r="83" spans="1:22" ht="15" x14ac:dyDescent="0.2">
      <c r="A83" s="43">
        <v>6</v>
      </c>
      <c r="B83" s="45" t="str">
        <f>IF('Навигатор накоплений'!A35="","",EDATE('Навигатор накоплений'!C35,A83-1))</f>
        <v/>
      </c>
      <c r="C83" s="45" t="str">
        <f>IF(B83="","",EDATE('Навигатор накоплений'!C35,A83))</f>
        <v/>
      </c>
      <c r="D83" s="46" t="str">
        <f t="shared" si="36"/>
        <v/>
      </c>
      <c r="E83" s="46" t="str">
        <f>IF(B83="","",N('Навигатор накоплений'!G35))</f>
        <v/>
      </c>
      <c r="F83" s="46" t="str">
        <f>IF(B83="","",IF('Навигатор накоплений'!F35="Ежедневный остаток",D83+E83,D83))</f>
        <v/>
      </c>
      <c r="G83" s="48" t="str">
        <f t="shared" si="34"/>
        <v/>
      </c>
      <c r="H83" s="46" t="str">
        <f>IF(B83="","",ROUND(F83*'Навигатор накоплений'!E35*IF(YEAR(B83)=YEAR(C83-1),(C83-B83)/(DATE(YEAR(B83),12,31)-DATE(YEAR(B83),1,1)+1),(DATE(YEAR(B83)+1,1,1)-B83)/(DATE(YEAR(B83),12,31)-DATE(YEAR(B83),1,1)+1)+(C83-DATE(YEAR(C83),1,1))/(DATE(YEAR(C83),12,31)-DATE(YEAR(C83),1,1)+1)),2))</f>
        <v/>
      </c>
      <c r="I83" s="46" t="str">
        <f t="shared" si="35"/>
        <v/>
      </c>
      <c r="K83" s="45"/>
      <c r="L83" s="45"/>
      <c r="M83" s="46"/>
      <c r="N83" s="45"/>
      <c r="O83" s="45"/>
      <c r="P83" s="46"/>
      <c r="Q83" s="45"/>
      <c r="R83" s="45"/>
      <c r="S83" s="46"/>
      <c r="T83" s="45"/>
      <c r="U83" s="45"/>
      <c r="V83" s="46"/>
    </row>
    <row r="84" spans="1:22" ht="15" x14ac:dyDescent="0.2">
      <c r="A84" s="43">
        <v>7</v>
      </c>
      <c r="B84" s="45" t="str">
        <f>IF('Навигатор накоплений'!A35="","",EDATE('Навигатор накоплений'!C35,A84-1))</f>
        <v/>
      </c>
      <c r="C84" s="45" t="str">
        <f>IF(B84="","",EDATE('Навигатор накоплений'!C35,A84))</f>
        <v/>
      </c>
      <c r="D84" s="46" t="str">
        <f t="shared" si="36"/>
        <v/>
      </c>
      <c r="E84" s="46" t="str">
        <f>IF(B84="","",N('Навигатор накоплений'!G35))</f>
        <v/>
      </c>
      <c r="F84" s="46" t="str">
        <f>IF(B84="","",IF('Навигатор накоплений'!F35="Ежедневный остаток",D84+E84,D84))</f>
        <v/>
      </c>
      <c r="G84" s="48" t="str">
        <f t="shared" si="34"/>
        <v/>
      </c>
      <c r="H84" s="46" t="str">
        <f>IF(B84="","",ROUND(F84*'Навигатор накоплений'!E35*IF(YEAR(B84)=YEAR(C84-1),(C84-B84)/(DATE(YEAR(B84),12,31)-DATE(YEAR(B84),1,1)+1),(DATE(YEAR(B84)+1,1,1)-B84)/(DATE(YEAR(B84),12,31)-DATE(YEAR(B84),1,1)+1)+(C84-DATE(YEAR(C84),1,1))/(DATE(YEAR(C84),12,31)-DATE(YEAR(C84),1,1)+1)),2))</f>
        <v/>
      </c>
      <c r="I84" s="46" t="str">
        <f t="shared" si="35"/>
        <v/>
      </c>
      <c r="K84" s="45"/>
      <c r="L84" s="45"/>
      <c r="M84" s="46"/>
      <c r="N84" s="45"/>
      <c r="O84" s="45"/>
      <c r="P84" s="46"/>
      <c r="Q84" s="45"/>
      <c r="R84" s="45"/>
      <c r="S84" s="46"/>
      <c r="T84" s="45"/>
      <c r="U84" s="45"/>
      <c r="V84" s="46"/>
    </row>
    <row r="85" spans="1:22" ht="15" x14ac:dyDescent="0.2">
      <c r="A85" s="43">
        <v>8</v>
      </c>
      <c r="B85" s="45" t="str">
        <f>IF('Навигатор накоплений'!A35="","",EDATE('Навигатор накоплений'!C35,A85-1))</f>
        <v/>
      </c>
      <c r="C85" s="45" t="str">
        <f>IF(B85="","",EDATE('Навигатор накоплений'!C35,A85))</f>
        <v/>
      </c>
      <c r="D85" s="46" t="str">
        <f t="shared" si="36"/>
        <v/>
      </c>
      <c r="E85" s="46" t="str">
        <f>IF(B85="","",N('Навигатор накоплений'!G35))</f>
        <v/>
      </c>
      <c r="F85" s="46" t="str">
        <f>IF(B85="","",IF('Навигатор накоплений'!F35="Ежедневный остаток",D85+E85,D85))</f>
        <v/>
      </c>
      <c r="G85" s="48" t="str">
        <f t="shared" si="34"/>
        <v/>
      </c>
      <c r="H85" s="46" t="str">
        <f>IF(B85="","",ROUND(F85*'Навигатор накоплений'!E35*IF(YEAR(B85)=YEAR(C85-1),(C85-B85)/(DATE(YEAR(B85),12,31)-DATE(YEAR(B85),1,1)+1),(DATE(YEAR(B85)+1,1,1)-B85)/(DATE(YEAR(B85),12,31)-DATE(YEAR(B85),1,1)+1)+(C85-DATE(YEAR(C85),1,1))/(DATE(YEAR(C85),12,31)-DATE(YEAR(C85),1,1)+1)),2))</f>
        <v/>
      </c>
      <c r="I85" s="46" t="str">
        <f t="shared" si="35"/>
        <v/>
      </c>
      <c r="K85" s="45"/>
      <c r="L85" s="45"/>
      <c r="M85" s="46"/>
      <c r="N85" s="45"/>
      <c r="O85" s="45"/>
      <c r="P85" s="46"/>
      <c r="Q85" s="45"/>
      <c r="R85" s="45"/>
      <c r="S85" s="46"/>
      <c r="T85" s="45"/>
      <c r="U85" s="45"/>
      <c r="V85" s="46"/>
    </row>
    <row r="86" spans="1:22" ht="15" x14ac:dyDescent="0.2">
      <c r="A86" s="43">
        <v>9</v>
      </c>
      <c r="B86" s="45" t="str">
        <f>IF('Навигатор накоплений'!A35="","",EDATE('Навигатор накоплений'!C35,A86-1))</f>
        <v/>
      </c>
      <c r="C86" s="45" t="str">
        <f>IF(B86="","",EDATE('Навигатор накоплений'!C35,A86))</f>
        <v/>
      </c>
      <c r="D86" s="46" t="str">
        <f t="shared" si="36"/>
        <v/>
      </c>
      <c r="E86" s="46" t="str">
        <f>IF(B86="","",N('Навигатор накоплений'!G35))</f>
        <v/>
      </c>
      <c r="F86" s="46" t="str">
        <f>IF(B86="","",IF('Навигатор накоплений'!F35="Ежедневный остаток",D86+E86,D86))</f>
        <v/>
      </c>
      <c r="G86" s="48" t="str">
        <f t="shared" si="34"/>
        <v/>
      </c>
      <c r="H86" s="46" t="str">
        <f>IF(B86="","",ROUND(F86*'Навигатор накоплений'!E35*IF(YEAR(B86)=YEAR(C86-1),(C86-B86)/(DATE(YEAR(B86),12,31)-DATE(YEAR(B86),1,1)+1),(DATE(YEAR(B86)+1,1,1)-B86)/(DATE(YEAR(B86),12,31)-DATE(YEAR(B86),1,1)+1)+(C86-DATE(YEAR(C86),1,1))/(DATE(YEAR(C86),12,31)-DATE(YEAR(C86),1,1)+1)),2))</f>
        <v/>
      </c>
      <c r="I86" s="46" t="str">
        <f t="shared" si="35"/>
        <v/>
      </c>
      <c r="K86" s="45"/>
      <c r="L86" s="45"/>
      <c r="M86" s="46"/>
      <c r="N86" s="45"/>
      <c r="O86" s="45"/>
      <c r="P86" s="46"/>
      <c r="Q86" s="45"/>
      <c r="R86" s="45"/>
      <c r="S86" s="46"/>
      <c r="T86" s="45"/>
      <c r="U86" s="45"/>
      <c r="V86" s="46"/>
    </row>
    <row r="87" spans="1:22" ht="15" x14ac:dyDescent="0.2">
      <c r="A87" s="43">
        <v>10</v>
      </c>
      <c r="B87" s="45" t="str">
        <f>IF('Навигатор накоплений'!A35="","",EDATE('Навигатор накоплений'!C35,A87-1))</f>
        <v/>
      </c>
      <c r="C87" s="45" t="str">
        <f>IF(B87="","",EDATE('Навигатор накоплений'!C35,A87))</f>
        <v/>
      </c>
      <c r="D87" s="46" t="str">
        <f t="shared" si="36"/>
        <v/>
      </c>
      <c r="E87" s="46" t="str">
        <f>IF(B87="","",N('Навигатор накоплений'!G35))</f>
        <v/>
      </c>
      <c r="F87" s="46" t="str">
        <f>IF(B87="","",IF('Навигатор накоплений'!F35="Ежедневный остаток",D87+E87,D87))</f>
        <v/>
      </c>
      <c r="G87" s="48" t="str">
        <f t="shared" si="34"/>
        <v/>
      </c>
      <c r="H87" s="46" t="str">
        <f>IF(B87="","",ROUND(F87*'Навигатор накоплений'!E35*IF(YEAR(B87)=YEAR(C87-1),(C87-B87)/(DATE(YEAR(B87),12,31)-DATE(YEAR(B87),1,1)+1),(DATE(YEAR(B87)+1,1,1)-B87)/(DATE(YEAR(B87),12,31)-DATE(YEAR(B87),1,1)+1)+(C87-DATE(YEAR(C87),1,1))/(DATE(YEAR(C87),12,31)-DATE(YEAR(C87),1,1)+1)),2))</f>
        <v/>
      </c>
      <c r="I87" s="46" t="str">
        <f t="shared" si="35"/>
        <v/>
      </c>
      <c r="K87" s="45"/>
      <c r="L87" s="45"/>
      <c r="M87" s="46"/>
      <c r="N87" s="45"/>
      <c r="O87" s="45"/>
      <c r="P87" s="46"/>
      <c r="Q87" s="45"/>
      <c r="R87" s="45"/>
      <c r="S87" s="46"/>
      <c r="T87" s="45"/>
      <c r="U87" s="45"/>
      <c r="V87" s="46"/>
    </row>
    <row r="88" spans="1:22" ht="15" x14ac:dyDescent="0.2">
      <c r="A88" s="43">
        <v>11</v>
      </c>
      <c r="B88" s="45" t="str">
        <f>IF('Навигатор накоплений'!A35="","",EDATE('Навигатор накоплений'!C35,A88-1))</f>
        <v/>
      </c>
      <c r="C88" s="45" t="str">
        <f>IF(B88="","",EDATE('Навигатор накоплений'!C35,A88))</f>
        <v/>
      </c>
      <c r="D88" s="46" t="str">
        <f t="shared" si="36"/>
        <v/>
      </c>
      <c r="E88" s="46" t="str">
        <f>IF(B88="","",N('Навигатор накоплений'!G35))</f>
        <v/>
      </c>
      <c r="F88" s="46" t="str">
        <f>IF(B88="","",IF('Навигатор накоплений'!F35="Ежедневный остаток",D88+E88,D88))</f>
        <v/>
      </c>
      <c r="G88" s="48" t="str">
        <f t="shared" si="34"/>
        <v/>
      </c>
      <c r="H88" s="46" t="str">
        <f>IF(B88="","",ROUND(F88*'Навигатор накоплений'!E35*IF(YEAR(B88)=YEAR(C88-1),(C88-B88)/(DATE(YEAR(B88),12,31)-DATE(YEAR(B88),1,1)+1),(DATE(YEAR(B88)+1,1,1)-B88)/(DATE(YEAR(B88),12,31)-DATE(YEAR(B88),1,1)+1)+(C88-DATE(YEAR(C88),1,1))/(DATE(YEAR(C88),12,31)-DATE(YEAR(C88),1,1)+1)),2))</f>
        <v/>
      </c>
      <c r="I88" s="46" t="str">
        <f t="shared" si="35"/>
        <v/>
      </c>
      <c r="K88" s="45"/>
      <c r="L88" s="45"/>
      <c r="M88" s="46"/>
      <c r="N88" s="45"/>
      <c r="O88" s="45"/>
      <c r="P88" s="46"/>
      <c r="Q88" s="45"/>
      <c r="R88" s="45"/>
      <c r="S88" s="46"/>
      <c r="T88" s="45"/>
      <c r="U88" s="45"/>
      <c r="V88" s="46"/>
    </row>
    <row r="89" spans="1:22" ht="15" x14ac:dyDescent="0.2">
      <c r="A89" s="43">
        <v>12</v>
      </c>
      <c r="B89" s="45" t="str">
        <f>IF('Навигатор накоплений'!A35="","",EDATE('Навигатор накоплений'!C35,A89-1))</f>
        <v/>
      </c>
      <c r="C89" s="45" t="str">
        <f>IF(B89="","",EDATE('Навигатор накоплений'!C35,A89))</f>
        <v/>
      </c>
      <c r="D89" s="46" t="str">
        <f t="shared" si="36"/>
        <v/>
      </c>
      <c r="E89" s="46" t="str">
        <f>IF(B89="","",N('Навигатор накоплений'!G35))</f>
        <v/>
      </c>
      <c r="F89" s="46" t="str">
        <f>IF(B89="","",IF('Навигатор накоплений'!F35="Ежедневный остаток",D89+E89,D89))</f>
        <v/>
      </c>
      <c r="G89" s="48" t="str">
        <f t="shared" si="34"/>
        <v/>
      </c>
      <c r="H89" s="46" t="str">
        <f>IF(B89="","",ROUND(F89*'Навигатор накоплений'!E35*IF(YEAR(B89)=YEAR(C89-1),(C89-B89)/(DATE(YEAR(B89),12,31)-DATE(YEAR(B89),1,1)+1),(DATE(YEAR(B89)+1,1,1)-B89)/(DATE(YEAR(B89),12,31)-DATE(YEAR(B89),1,1)+1)+(C89-DATE(YEAR(C89),1,1))/(DATE(YEAR(C89),12,31)-DATE(YEAR(C89),1,1)+1)),2))</f>
        <v/>
      </c>
      <c r="I89" s="46" t="str">
        <f t="shared" si="35"/>
        <v/>
      </c>
      <c r="K89" s="45"/>
      <c r="L89" s="45"/>
      <c r="M89" s="46"/>
      <c r="N89" s="45"/>
      <c r="O89" s="45"/>
      <c r="P89" s="46"/>
      <c r="Q89" s="45"/>
      <c r="R89" s="45"/>
      <c r="S89" s="46"/>
      <c r="T89" s="45"/>
      <c r="U89" s="45"/>
      <c r="V89" s="46"/>
    </row>
    <row r="90" spans="1:22" x14ac:dyDescent="0.2">
      <c r="A90" s="105" t="s">
        <v>58</v>
      </c>
      <c r="B90" s="105"/>
      <c r="C90" s="105"/>
      <c r="D90" s="106"/>
      <c r="E90" s="49">
        <f>SUM(E78:E89)</f>
        <v>0</v>
      </c>
      <c r="F90" s="49" t="s">
        <v>59</v>
      </c>
      <c r="G90" s="50">
        <f>SUM(G78:G89)</f>
        <v>0</v>
      </c>
      <c r="H90" s="49" t="str">
        <f>IF('Навигатор накоплений'!A35="","",SUM(H78:H89))</f>
        <v/>
      </c>
      <c r="I90" s="49" t="str">
        <f>IF('Навигатор накоплений'!A35="","",I89)</f>
        <v/>
      </c>
      <c r="K90" s="45"/>
      <c r="L90" s="45"/>
      <c r="M90" s="46"/>
      <c r="N90" s="45"/>
      <c r="O90" s="45"/>
      <c r="P90" s="46"/>
      <c r="Q90" s="45"/>
      <c r="R90" s="45"/>
      <c r="S90" s="46"/>
      <c r="T90" s="45"/>
      <c r="U90" s="45"/>
      <c r="V90" s="46"/>
    </row>
    <row r="91" spans="1:22" x14ac:dyDescent="0.2">
      <c r="K91" s="45"/>
      <c r="L91" s="45"/>
      <c r="M91" s="46"/>
      <c r="N91" s="45"/>
      <c r="O91" s="45"/>
      <c r="P91" s="46"/>
      <c r="Q91" s="45"/>
      <c r="R91" s="45"/>
      <c r="S91" s="46"/>
      <c r="T91" s="45"/>
      <c r="U91" s="45"/>
      <c r="V91" s="46"/>
    </row>
    <row r="92" spans="1:22" x14ac:dyDescent="0.2">
      <c r="K92" s="45"/>
      <c r="L92" s="45"/>
      <c r="M92" s="46"/>
      <c r="N92" s="45"/>
      <c r="O92" s="45"/>
      <c r="P92" s="46"/>
      <c r="Q92" s="45"/>
      <c r="R92" s="45"/>
      <c r="S92" s="46"/>
      <c r="T92" s="45"/>
      <c r="U92" s="45"/>
      <c r="V92" s="46"/>
    </row>
    <row r="93" spans="1:22" ht="15" x14ac:dyDescent="0.2">
      <c r="A93" s="100" t="str">
        <f>IF('Навигатор накоплений'!A36="","Счет не заполнен","Счет: "&amp;'Навигатор накоплений'!A36&amp;" — "&amp;'Навигатор накоплений'!B36)</f>
        <v>Счет не заполнен</v>
      </c>
      <c r="B93" s="100"/>
      <c r="C93" s="100"/>
      <c r="D93" s="100"/>
      <c r="E93" s="100"/>
      <c r="F93" s="100"/>
      <c r="G93" s="100"/>
      <c r="H93" s="100"/>
      <c r="I93" s="100"/>
      <c r="K93" s="45"/>
      <c r="L93" s="45"/>
      <c r="M93" s="46"/>
      <c r="N93" s="45"/>
      <c r="O93" s="45"/>
      <c r="P93" s="46"/>
      <c r="Q93" s="45"/>
      <c r="R93" s="45"/>
      <c r="S93" s="46"/>
      <c r="T93" s="45"/>
      <c r="U93" s="45"/>
      <c r="V93" s="46"/>
    </row>
    <row r="94" spans="1:22" ht="15" x14ac:dyDescent="0.2">
      <c r="A94" s="47" t="s">
        <v>53</v>
      </c>
      <c r="B94" s="47" t="s">
        <v>49</v>
      </c>
      <c r="C94" s="47" t="s">
        <v>50</v>
      </c>
      <c r="D94" s="47" t="s">
        <v>54</v>
      </c>
      <c r="E94" s="47" t="s">
        <v>55</v>
      </c>
      <c r="F94" s="47" t="s">
        <v>56</v>
      </c>
      <c r="G94" s="47" t="s">
        <v>57</v>
      </c>
      <c r="H94" s="47" t="s">
        <v>51</v>
      </c>
      <c r="I94" s="47" t="s">
        <v>52</v>
      </c>
      <c r="K94" s="45" t="str">
        <f>IF(OR(L93="",L93&gt;='Навигатор накоплений'!F22),"",(L93)+0*LEN("K94"))</f>
        <v/>
      </c>
      <c r="L94" s="45" t="str">
        <f>IF(K94="","",(MIN(EDATE(K94,1),'Навигатор накоплений'!F22))+0*LEN("L94"))</f>
        <v/>
      </c>
      <c r="M94" s="46" t="str">
        <f>IF(L94="","",(ROUND(M93*(1+'Навигатор накоплений'!D22*(IF(YEAR(K94)=YEAR(L94-1),(L94-K94)/(DATE(YEAR(K94),12,31)-DATE(YEAR(K94),1,1)+1),(DATE(YEAR(K94)+1,1,1)-K94)/(DATE(YEAR(K94),12,31)-DATE(YEAR(K94),1,1)+1)+(L94-DATE(YEAR(L94),1,1))/(DATE(YEAR(L94),12,31)-DATE(YEAR(L94),1,1)+1)))),2)+IF(L94&lt;'Навигатор накоплений'!F22,N('Навигатор накоплений'!G22),0))+0*LEN("M94"))</f>
        <v/>
      </c>
      <c r="N94" s="45" t="str">
        <f>IF(OR(O93="",O93&gt;='Навигатор накоплений'!F23),"",(O93)+0*LEN("N94"))</f>
        <v/>
      </c>
      <c r="O94" s="45" t="str">
        <f>IF(N94="","",(MIN(EDATE(N94,1),'Навигатор накоплений'!F23))+0*LEN("O94"))</f>
        <v/>
      </c>
      <c r="P94" s="46" t="str">
        <f>IF(O94="","",(ROUND(P93*(1+'Навигатор накоплений'!D23*(IF(YEAR(N94)=YEAR(O94-1),(O94-N94)/(DATE(YEAR(N94),12,31)-DATE(YEAR(N94),1,1)+1),(DATE(YEAR(N94)+1,1,1)-N94)/(DATE(YEAR(N94),12,31)-DATE(YEAR(N94),1,1)+1)+(O94-DATE(YEAR(O94),1,1))/(DATE(YEAR(O94),12,31)-DATE(YEAR(O94),1,1)+1)))),2)+IF(O94&lt;'Навигатор накоплений'!F23,N('Навигатор накоплений'!G23),0))+0*LEN("P94"))</f>
        <v/>
      </c>
      <c r="Q94" s="45" t="str">
        <f>IF(OR(R93="",R93&gt;='Навигатор накоплений'!F24),"",(R93)+0*LEN("Q94"))</f>
        <v/>
      </c>
      <c r="R94" s="45" t="str">
        <f>IF(Q94="","",(MIN(EDATE(Q94,1),'Навигатор накоплений'!F24))+0*LEN("R94"))</f>
        <v/>
      </c>
      <c r="S94" s="46" t="str">
        <f>IF(R94="","",(ROUND(S93*(1+'Навигатор накоплений'!D24*(IF(YEAR(Q94)=YEAR(R94-1),(R94-Q94)/(DATE(YEAR(Q94),12,31)-DATE(YEAR(Q94),1,1)+1),(DATE(YEAR(Q94)+1,1,1)-Q94)/(DATE(YEAR(Q94),12,31)-DATE(YEAR(Q94),1,1)+1)+(R94-DATE(YEAR(R94),1,1))/(DATE(YEAR(R94),12,31)-DATE(YEAR(R94),1,1)+1)))),2)+IF(R94&lt;'Навигатор накоплений'!F24,N('Навигатор накоплений'!G24),0))+0*LEN("S94"))</f>
        <v/>
      </c>
      <c r="T94" s="45" t="str">
        <f>IF(OR(U93="",U93&gt;='Навигатор накоплений'!F27),"",(U93)+0*LEN("T94"))</f>
        <v/>
      </c>
      <c r="U94" s="45" t="str">
        <f>IF(T94="","",(MIN(EDATE(T94,1),'Навигатор накоплений'!F27))+0*LEN("U94"))</f>
        <v/>
      </c>
      <c r="V94" s="46" t="str">
        <f>IF(U94="","",(ROUND(V93*(1+'Навигатор накоплений'!D27*(IF(YEAR(T94)=YEAR(U94-1),(U94-T94)/(DATE(YEAR(T94),12,31)-DATE(YEAR(T94),1,1)+1),(DATE(YEAR(T94)+1,1,1)-T94)/(DATE(YEAR(T94),12,31)-DATE(YEAR(T94),1,1)+1)+(U94-DATE(YEAR(U94),1,1))/(DATE(YEAR(U94),12,31)-DATE(YEAR(U94),1,1)+1)))),2)+IF(U94&lt;'Навигатор накоплений'!F27,N('Навигатор накоплений'!G27),0))+0*LEN("V94"))</f>
        <v/>
      </c>
    </row>
    <row r="95" spans="1:22" ht="15" x14ac:dyDescent="0.2">
      <c r="A95" s="43">
        <v>1</v>
      </c>
      <c r="B95" s="45" t="str">
        <f>IF('Навигатор накоплений'!A36="","",EDATE('Навигатор накоплений'!C36,A95-1))</f>
        <v/>
      </c>
      <c r="C95" s="45" t="str">
        <f>IF(B95="","",EDATE('Навигатор накоплений'!C36,A95))</f>
        <v/>
      </c>
      <c r="D95" s="46" t="str">
        <f>IF(B95="","",'Навигатор накоплений'!D36)</f>
        <v/>
      </c>
      <c r="E95" s="46" t="str">
        <f>IF(B95="","",N('Навигатор накоплений'!G36))</f>
        <v/>
      </c>
      <c r="F95" s="46" t="str">
        <f>IF(B95="","",IF('Навигатор накоплений'!F36="Ежедневный остаток",D95+E95,D95))</f>
        <v/>
      </c>
      <c r="G95" s="48" t="str">
        <f t="shared" ref="G95:G106" si="37">IF(B95="","",C95-B95)</f>
        <v/>
      </c>
      <c r="H95" s="46" t="str">
        <f>IF(B95="","",ROUND(F95*'Навигатор накоплений'!E36*IF(YEAR(B95)=YEAR(C95-1),(C95-B95)/(DATE(YEAR(B95),12,31)-DATE(YEAR(B95),1,1)+1),(DATE(YEAR(B95)+1,1,1)-B95)/(DATE(YEAR(B95),12,31)-DATE(YEAR(B95),1,1)+1)+(C95-DATE(YEAR(C95),1,1))/(DATE(YEAR(C95),12,31)-DATE(YEAR(C95),1,1)+1)),2))</f>
        <v/>
      </c>
      <c r="I95" s="46" t="str">
        <f t="shared" ref="I95:I106" si="38">IF(B95="","",ROUND(D95+E95+H95,2))</f>
        <v/>
      </c>
      <c r="K95" s="45" t="str">
        <f>IF(OR(L94="",L94&gt;='Навигатор накоплений'!F22),"",(L94)+0*LEN("K95"))</f>
        <v/>
      </c>
      <c r="L95" s="45" t="str">
        <f>IF(K95="","",(MIN(EDATE(K95,1),'Навигатор накоплений'!F22))+0*LEN("L95"))</f>
        <v/>
      </c>
      <c r="M95" s="46" t="str">
        <f>IF(L95="","",(ROUND(M94*(1+'Навигатор накоплений'!D22*(IF(YEAR(K95)=YEAR(L95-1),(L95-K95)/(DATE(YEAR(K95),12,31)-DATE(YEAR(K95),1,1)+1),(DATE(YEAR(K95)+1,1,1)-K95)/(DATE(YEAR(K95),12,31)-DATE(YEAR(K95),1,1)+1)+(L95-DATE(YEAR(L95),1,1))/(DATE(YEAR(L95),12,31)-DATE(YEAR(L95),1,1)+1)))),2)+IF(L95&lt;'Навигатор накоплений'!F22,N('Навигатор накоплений'!G22),0))+0*LEN("M95"))</f>
        <v/>
      </c>
      <c r="N95" s="45" t="str">
        <f>IF(OR(O94="",O94&gt;='Навигатор накоплений'!F23),"",(O94)+0*LEN("N95"))</f>
        <v/>
      </c>
      <c r="O95" s="45" t="str">
        <f>IF(N95="","",(MIN(EDATE(N95,1),'Навигатор накоплений'!F23))+0*LEN("O95"))</f>
        <v/>
      </c>
      <c r="P95" s="46" t="str">
        <f>IF(O95="","",(ROUND(P94*(1+'Навигатор накоплений'!D23*(IF(YEAR(N95)=YEAR(O95-1),(O95-N95)/(DATE(YEAR(N95),12,31)-DATE(YEAR(N95),1,1)+1),(DATE(YEAR(N95)+1,1,1)-N95)/(DATE(YEAR(N95),12,31)-DATE(YEAR(N95),1,1)+1)+(O95-DATE(YEAR(O95),1,1))/(DATE(YEAR(O95),12,31)-DATE(YEAR(O95),1,1)+1)))),2)+IF(O95&lt;'Навигатор накоплений'!F23,N('Навигатор накоплений'!G23),0))+0*LEN("P95"))</f>
        <v/>
      </c>
      <c r="Q95" s="45" t="str">
        <f>IF(OR(R94="",R94&gt;='Навигатор накоплений'!F24),"",(R94)+0*LEN("Q95"))</f>
        <v/>
      </c>
      <c r="R95" s="45" t="str">
        <f>IF(Q95="","",(MIN(EDATE(Q95,1),'Навигатор накоплений'!F24))+0*LEN("R95"))</f>
        <v/>
      </c>
      <c r="S95" s="46" t="str">
        <f>IF(R95="","",(ROUND(S94*(1+'Навигатор накоплений'!D24*(IF(YEAR(Q95)=YEAR(R95-1),(R95-Q95)/(DATE(YEAR(Q95),12,31)-DATE(YEAR(Q95),1,1)+1),(DATE(YEAR(Q95)+1,1,1)-Q95)/(DATE(YEAR(Q95),12,31)-DATE(YEAR(Q95),1,1)+1)+(R95-DATE(YEAR(R95),1,1))/(DATE(YEAR(R95),12,31)-DATE(YEAR(R95),1,1)+1)))),2)+IF(R95&lt;'Навигатор накоплений'!F24,N('Навигатор накоплений'!G24),0))+0*LEN("S95"))</f>
        <v/>
      </c>
      <c r="T95" s="45" t="str">
        <f>IF(OR(U94="",U94&gt;='Навигатор накоплений'!F27),"",(U94)+0*LEN("T95"))</f>
        <v/>
      </c>
      <c r="U95" s="45" t="str">
        <f>IF(T95="","",(MIN(EDATE(T95,1),'Навигатор накоплений'!F27))+0*LEN("U95"))</f>
        <v/>
      </c>
      <c r="V95" s="46" t="str">
        <f>IF(U95="","",(ROUND(V94*(1+'Навигатор накоплений'!D27*(IF(YEAR(T95)=YEAR(U95-1),(U95-T95)/(DATE(YEAR(T95),12,31)-DATE(YEAR(T95),1,1)+1),(DATE(YEAR(T95)+1,1,1)-T95)/(DATE(YEAR(T95),12,31)-DATE(YEAR(T95),1,1)+1)+(U95-DATE(YEAR(U95),1,1))/(DATE(YEAR(U95),12,31)-DATE(YEAR(U95),1,1)+1)))),2)+IF(U95&lt;'Навигатор накоплений'!F27,N('Навигатор накоплений'!G27),0))+0*LEN("V95"))</f>
        <v/>
      </c>
    </row>
    <row r="96" spans="1:22" ht="15" x14ac:dyDescent="0.2">
      <c r="A96" s="43">
        <v>2</v>
      </c>
      <c r="B96" s="45" t="str">
        <f>IF('Навигатор накоплений'!A36="","",EDATE('Навигатор накоплений'!C36,A96-1))</f>
        <v/>
      </c>
      <c r="C96" s="45" t="str">
        <f>IF(B96="","",EDATE('Навигатор накоплений'!C36,A96))</f>
        <v/>
      </c>
      <c r="D96" s="46" t="str">
        <f t="shared" ref="D96:D106" si="39">IF(B96="","",I95)</f>
        <v/>
      </c>
      <c r="E96" s="46" t="str">
        <f>IF(B96="","",N('Навигатор накоплений'!G36))</f>
        <v/>
      </c>
      <c r="F96" s="46" t="str">
        <f>IF(B96="","",IF('Навигатор накоплений'!F36="Ежедневный остаток",D96+E96,D96))</f>
        <v/>
      </c>
      <c r="G96" s="48" t="str">
        <f t="shared" si="37"/>
        <v/>
      </c>
      <c r="H96" s="46" t="str">
        <f>IF(B96="","",ROUND(F96*'Навигатор накоплений'!E36*IF(YEAR(B96)=YEAR(C96-1),(C96-B96)/(DATE(YEAR(B96),12,31)-DATE(YEAR(B96),1,1)+1),(DATE(YEAR(B96)+1,1,1)-B96)/(DATE(YEAR(B96),12,31)-DATE(YEAR(B96),1,1)+1)+(C96-DATE(YEAR(C96),1,1))/(DATE(YEAR(C96),12,31)-DATE(YEAR(C96),1,1)+1)),2))</f>
        <v/>
      </c>
      <c r="I96" s="46" t="str">
        <f t="shared" si="38"/>
        <v/>
      </c>
      <c r="K96" s="45" t="str">
        <f>IF(OR(L95="",L95&gt;='Навигатор накоплений'!F22),"",(L95)+0*LEN("K96"))</f>
        <v/>
      </c>
      <c r="L96" s="45" t="str">
        <f>IF(K96="","",(MIN(EDATE(K96,1),'Навигатор накоплений'!F22))+0*LEN("L96"))</f>
        <v/>
      </c>
      <c r="M96" s="46" t="str">
        <f>IF(L96="","",(ROUND(M95*(1+'Навигатор накоплений'!D22*(IF(YEAR(K96)=YEAR(L96-1),(L96-K96)/(DATE(YEAR(K96),12,31)-DATE(YEAR(K96),1,1)+1),(DATE(YEAR(K96)+1,1,1)-K96)/(DATE(YEAR(K96),12,31)-DATE(YEAR(K96),1,1)+1)+(L96-DATE(YEAR(L96),1,1))/(DATE(YEAR(L96),12,31)-DATE(YEAR(L96),1,1)+1)))),2)+IF(L96&lt;'Навигатор накоплений'!F22,N('Навигатор накоплений'!G22),0))+0*LEN("M96"))</f>
        <v/>
      </c>
      <c r="N96" s="45" t="str">
        <f>IF(OR(O95="",O95&gt;='Навигатор накоплений'!F23),"",(O95)+0*LEN("N96"))</f>
        <v/>
      </c>
      <c r="O96" s="45" t="str">
        <f>IF(N96="","",(MIN(EDATE(N96,1),'Навигатор накоплений'!F23))+0*LEN("O96"))</f>
        <v/>
      </c>
      <c r="P96" s="46" t="str">
        <f>IF(O96="","",(ROUND(P95*(1+'Навигатор накоплений'!D23*(IF(YEAR(N96)=YEAR(O96-1),(O96-N96)/(DATE(YEAR(N96),12,31)-DATE(YEAR(N96),1,1)+1),(DATE(YEAR(N96)+1,1,1)-N96)/(DATE(YEAR(N96),12,31)-DATE(YEAR(N96),1,1)+1)+(O96-DATE(YEAR(O96),1,1))/(DATE(YEAR(O96),12,31)-DATE(YEAR(O96),1,1)+1)))),2)+IF(O96&lt;'Навигатор накоплений'!F23,N('Навигатор накоплений'!G23),0))+0*LEN("P96"))</f>
        <v/>
      </c>
      <c r="Q96" s="45" t="str">
        <f>IF(OR(R95="",R95&gt;='Навигатор накоплений'!F24),"",(R95)+0*LEN("Q96"))</f>
        <v/>
      </c>
      <c r="R96" s="45" t="str">
        <f>IF(Q96="","",(MIN(EDATE(Q96,1),'Навигатор накоплений'!F24))+0*LEN("R96"))</f>
        <v/>
      </c>
      <c r="S96" s="46" t="str">
        <f>IF(R96="","",(ROUND(S95*(1+'Навигатор накоплений'!D24*(IF(YEAR(Q96)=YEAR(R96-1),(R96-Q96)/(DATE(YEAR(Q96),12,31)-DATE(YEAR(Q96),1,1)+1),(DATE(YEAR(Q96)+1,1,1)-Q96)/(DATE(YEAR(Q96),12,31)-DATE(YEAR(Q96),1,1)+1)+(R96-DATE(YEAR(R96),1,1))/(DATE(YEAR(R96),12,31)-DATE(YEAR(R96),1,1)+1)))),2)+IF(R96&lt;'Навигатор накоплений'!F24,N('Навигатор накоплений'!G24),0))+0*LEN("S96"))</f>
        <v/>
      </c>
      <c r="T96" s="45" t="str">
        <f>IF(OR(U95="",U95&gt;='Навигатор накоплений'!F27),"",(U95)+0*LEN("T96"))</f>
        <v/>
      </c>
      <c r="U96" s="45" t="str">
        <f>IF(T96="","",(MIN(EDATE(T96,1),'Навигатор накоплений'!F27))+0*LEN("U96"))</f>
        <v/>
      </c>
      <c r="V96" s="46" t="str">
        <f>IF(U96="","",(ROUND(V95*(1+'Навигатор накоплений'!D27*(IF(YEAR(T96)=YEAR(U96-1),(U96-T96)/(DATE(YEAR(T96),12,31)-DATE(YEAR(T96),1,1)+1),(DATE(YEAR(T96)+1,1,1)-T96)/(DATE(YEAR(T96),12,31)-DATE(YEAR(T96),1,1)+1)+(U96-DATE(YEAR(U96),1,1))/(DATE(YEAR(U96),12,31)-DATE(YEAR(U96),1,1)+1)))),2)+IF(U96&lt;'Навигатор накоплений'!F27,N('Навигатор накоплений'!G27),0))+0*LEN("V96"))</f>
        <v/>
      </c>
    </row>
    <row r="97" spans="1:22" ht="15" x14ac:dyDescent="0.2">
      <c r="A97" s="43">
        <v>3</v>
      </c>
      <c r="B97" s="45" t="str">
        <f>IF('Навигатор накоплений'!A36="","",EDATE('Навигатор накоплений'!C36,A97-1))</f>
        <v/>
      </c>
      <c r="C97" s="45" t="str">
        <f>IF(B97="","",EDATE('Навигатор накоплений'!C36,A97))</f>
        <v/>
      </c>
      <c r="D97" s="46" t="str">
        <f t="shared" si="39"/>
        <v/>
      </c>
      <c r="E97" s="46" t="str">
        <f>IF(B97="","",N('Навигатор накоплений'!G36))</f>
        <v/>
      </c>
      <c r="F97" s="46" t="str">
        <f>IF(B97="","",IF('Навигатор накоплений'!F36="Ежедневный остаток",D97+E97,D97))</f>
        <v/>
      </c>
      <c r="G97" s="48" t="str">
        <f t="shared" si="37"/>
        <v/>
      </c>
      <c r="H97" s="46" t="str">
        <f>IF(B97="","",ROUND(F97*'Навигатор накоплений'!E36*IF(YEAR(B97)=YEAR(C97-1),(C97-B97)/(DATE(YEAR(B97),12,31)-DATE(YEAR(B97),1,1)+1),(DATE(YEAR(B97)+1,1,1)-B97)/(DATE(YEAR(B97),12,31)-DATE(YEAR(B97),1,1)+1)+(C97-DATE(YEAR(C97),1,1))/(DATE(YEAR(C97),12,31)-DATE(YEAR(C97),1,1)+1)),2))</f>
        <v/>
      </c>
      <c r="I97" s="46" t="str">
        <f t="shared" si="38"/>
        <v/>
      </c>
      <c r="K97" s="45" t="str">
        <f>IF(OR(L96="",L96&gt;='Навигатор накоплений'!F22),"",(L96)+0*LEN("K97"))</f>
        <v/>
      </c>
      <c r="L97" s="45" t="str">
        <f>IF(K97="","",(MIN(EDATE(K97,1),'Навигатор накоплений'!F22))+0*LEN("L97"))</f>
        <v/>
      </c>
      <c r="M97" s="46" t="str">
        <f>IF(L97="","",(ROUND(M96*(1+'Навигатор накоплений'!D22*(IF(YEAR(K97)=YEAR(L97-1),(L97-K97)/(DATE(YEAR(K97),12,31)-DATE(YEAR(K97),1,1)+1),(DATE(YEAR(K97)+1,1,1)-K97)/(DATE(YEAR(K97),12,31)-DATE(YEAR(K97),1,1)+1)+(L97-DATE(YEAR(L97),1,1))/(DATE(YEAR(L97),12,31)-DATE(YEAR(L97),1,1)+1)))),2)+IF(L97&lt;'Навигатор накоплений'!F22,N('Навигатор накоплений'!G22),0))+0*LEN("M97"))</f>
        <v/>
      </c>
      <c r="N97" s="45" t="str">
        <f>IF(OR(O96="",O96&gt;='Навигатор накоплений'!F23),"",(O96)+0*LEN("N97"))</f>
        <v/>
      </c>
      <c r="O97" s="45" t="str">
        <f>IF(N97="","",(MIN(EDATE(N97,1),'Навигатор накоплений'!F23))+0*LEN("O97"))</f>
        <v/>
      </c>
      <c r="P97" s="46" t="str">
        <f>IF(O97="","",(ROUND(P96*(1+'Навигатор накоплений'!D23*(IF(YEAR(N97)=YEAR(O97-1),(O97-N97)/(DATE(YEAR(N97),12,31)-DATE(YEAR(N97),1,1)+1),(DATE(YEAR(N97)+1,1,1)-N97)/(DATE(YEAR(N97),12,31)-DATE(YEAR(N97),1,1)+1)+(O97-DATE(YEAR(O97),1,1))/(DATE(YEAR(O97),12,31)-DATE(YEAR(O97),1,1)+1)))),2)+IF(O97&lt;'Навигатор накоплений'!F23,N('Навигатор накоплений'!G23),0))+0*LEN("P97"))</f>
        <v/>
      </c>
      <c r="Q97" s="45" t="str">
        <f>IF(OR(R96="",R96&gt;='Навигатор накоплений'!F24),"",(R96)+0*LEN("Q97"))</f>
        <v/>
      </c>
      <c r="R97" s="45" t="str">
        <f>IF(Q97="","",(MIN(EDATE(Q97,1),'Навигатор накоплений'!F24))+0*LEN("R97"))</f>
        <v/>
      </c>
      <c r="S97" s="46" t="str">
        <f>IF(R97="","",(ROUND(S96*(1+'Навигатор накоплений'!D24*(IF(YEAR(Q97)=YEAR(R97-1),(R97-Q97)/(DATE(YEAR(Q97),12,31)-DATE(YEAR(Q97),1,1)+1),(DATE(YEAR(Q97)+1,1,1)-Q97)/(DATE(YEAR(Q97),12,31)-DATE(YEAR(Q97),1,1)+1)+(R97-DATE(YEAR(R97),1,1))/(DATE(YEAR(R97),12,31)-DATE(YEAR(R97),1,1)+1)))),2)+IF(R97&lt;'Навигатор накоплений'!F24,N('Навигатор накоплений'!G24),0))+0*LEN("S97"))</f>
        <v/>
      </c>
      <c r="T97" s="45" t="str">
        <f>IF(OR(U96="",U96&gt;='Навигатор накоплений'!F27),"",(U96)+0*LEN("T97"))</f>
        <v/>
      </c>
      <c r="U97" s="45" t="str">
        <f>IF(T97="","",(MIN(EDATE(T97,1),'Навигатор накоплений'!F27))+0*LEN("U97"))</f>
        <v/>
      </c>
      <c r="V97" s="46" t="str">
        <f>IF(U97="","",(ROUND(V96*(1+'Навигатор накоплений'!D27*(IF(YEAR(T97)=YEAR(U97-1),(U97-T97)/(DATE(YEAR(T97),12,31)-DATE(YEAR(T97),1,1)+1),(DATE(YEAR(T97)+1,1,1)-T97)/(DATE(YEAR(T97),12,31)-DATE(YEAR(T97),1,1)+1)+(U97-DATE(YEAR(U97),1,1))/(DATE(YEAR(U97),12,31)-DATE(YEAR(U97),1,1)+1)))),2)+IF(U97&lt;'Навигатор накоплений'!F27,N('Навигатор накоплений'!G27),0))+0*LEN("V97"))</f>
        <v/>
      </c>
    </row>
    <row r="98" spans="1:22" ht="15" x14ac:dyDescent="0.2">
      <c r="A98" s="43">
        <v>4</v>
      </c>
      <c r="B98" s="45" t="str">
        <f>IF('Навигатор накоплений'!A36="","",EDATE('Навигатор накоплений'!C36,A98-1))</f>
        <v/>
      </c>
      <c r="C98" s="45" t="str">
        <f>IF(B98="","",EDATE('Навигатор накоплений'!C36,A98))</f>
        <v/>
      </c>
      <c r="D98" s="46" t="str">
        <f t="shared" si="39"/>
        <v/>
      </c>
      <c r="E98" s="46" t="str">
        <f>IF(B98="","",N('Навигатор накоплений'!G36))</f>
        <v/>
      </c>
      <c r="F98" s="46" t="str">
        <f>IF(B98="","",IF('Навигатор накоплений'!F36="Ежедневный остаток",D98+E98,D98))</f>
        <v/>
      </c>
      <c r="G98" s="48" t="str">
        <f t="shared" si="37"/>
        <v/>
      </c>
      <c r="H98" s="46" t="str">
        <f>IF(B98="","",ROUND(F98*'Навигатор накоплений'!E36*IF(YEAR(B98)=YEAR(C98-1),(C98-B98)/(DATE(YEAR(B98),12,31)-DATE(YEAR(B98),1,1)+1),(DATE(YEAR(B98)+1,1,1)-B98)/(DATE(YEAR(B98),12,31)-DATE(YEAR(B98),1,1)+1)+(C98-DATE(YEAR(C98),1,1))/(DATE(YEAR(C98),12,31)-DATE(YEAR(C98),1,1)+1)),2))</f>
        <v/>
      </c>
      <c r="I98" s="46" t="str">
        <f t="shared" si="38"/>
        <v/>
      </c>
      <c r="K98" s="45" t="str">
        <f>IF(OR(L97="",L97&gt;='Навигатор накоплений'!F22),"",(L97)+0*LEN("K98"))</f>
        <v/>
      </c>
      <c r="L98" s="45" t="str">
        <f>IF(K98="","",(MIN(EDATE(K98,1),'Навигатор накоплений'!F22))+0*LEN("L98"))</f>
        <v/>
      </c>
      <c r="M98" s="46" t="str">
        <f>IF(L98="","",(ROUND(M97*(1+'Навигатор накоплений'!D22*(IF(YEAR(K98)=YEAR(L98-1),(L98-K98)/(DATE(YEAR(K98),12,31)-DATE(YEAR(K98),1,1)+1),(DATE(YEAR(K98)+1,1,1)-K98)/(DATE(YEAR(K98),12,31)-DATE(YEAR(K98),1,1)+1)+(L98-DATE(YEAR(L98),1,1))/(DATE(YEAR(L98),12,31)-DATE(YEAR(L98),1,1)+1)))),2)+IF(L98&lt;'Навигатор накоплений'!F22,N('Навигатор накоплений'!G22),0))+0*LEN("M98"))</f>
        <v/>
      </c>
      <c r="N98" s="45" t="str">
        <f>IF(OR(O97="",O97&gt;='Навигатор накоплений'!F23),"",(O97)+0*LEN("N98"))</f>
        <v/>
      </c>
      <c r="O98" s="45" t="str">
        <f>IF(N98="","",(MIN(EDATE(N98,1),'Навигатор накоплений'!F23))+0*LEN("O98"))</f>
        <v/>
      </c>
      <c r="P98" s="46" t="str">
        <f>IF(O98="","",(ROUND(P97*(1+'Навигатор накоплений'!D23*(IF(YEAR(N98)=YEAR(O98-1),(O98-N98)/(DATE(YEAR(N98),12,31)-DATE(YEAR(N98),1,1)+1),(DATE(YEAR(N98)+1,1,1)-N98)/(DATE(YEAR(N98),12,31)-DATE(YEAR(N98),1,1)+1)+(O98-DATE(YEAR(O98),1,1))/(DATE(YEAR(O98),12,31)-DATE(YEAR(O98),1,1)+1)))),2)+IF(O98&lt;'Навигатор накоплений'!F23,N('Навигатор накоплений'!G23),0))+0*LEN("P98"))</f>
        <v/>
      </c>
      <c r="Q98" s="45" t="str">
        <f>IF(OR(R97="",R97&gt;='Навигатор накоплений'!F24),"",(R97)+0*LEN("Q98"))</f>
        <v/>
      </c>
      <c r="R98" s="45" t="str">
        <f>IF(Q98="","",(MIN(EDATE(Q98,1),'Навигатор накоплений'!F24))+0*LEN("R98"))</f>
        <v/>
      </c>
      <c r="S98" s="46" t="str">
        <f>IF(R98="","",(ROUND(S97*(1+'Навигатор накоплений'!D24*(IF(YEAR(Q98)=YEAR(R98-1),(R98-Q98)/(DATE(YEAR(Q98),12,31)-DATE(YEAR(Q98),1,1)+1),(DATE(YEAR(Q98)+1,1,1)-Q98)/(DATE(YEAR(Q98),12,31)-DATE(YEAR(Q98),1,1)+1)+(R98-DATE(YEAR(R98),1,1))/(DATE(YEAR(R98),12,31)-DATE(YEAR(R98),1,1)+1)))),2)+IF(R98&lt;'Навигатор накоплений'!F24,N('Навигатор накоплений'!G24),0))+0*LEN("S98"))</f>
        <v/>
      </c>
      <c r="T98" s="45" t="str">
        <f>IF(OR(U97="",U97&gt;='Навигатор накоплений'!F27),"",(U97)+0*LEN("T98"))</f>
        <v/>
      </c>
      <c r="U98" s="45" t="str">
        <f>IF(T98="","",(MIN(EDATE(T98,1),'Навигатор накоплений'!F27))+0*LEN("U98"))</f>
        <v/>
      </c>
      <c r="V98" s="46" t="str">
        <f>IF(U98="","",(ROUND(V97*(1+'Навигатор накоплений'!D27*(IF(YEAR(T98)=YEAR(U98-1),(U98-T98)/(DATE(YEAR(T98),12,31)-DATE(YEAR(T98),1,1)+1),(DATE(YEAR(T98)+1,1,1)-T98)/(DATE(YEAR(T98),12,31)-DATE(YEAR(T98),1,1)+1)+(U98-DATE(YEAR(U98),1,1))/(DATE(YEAR(U98),12,31)-DATE(YEAR(U98),1,1)+1)))),2)+IF(U98&lt;'Навигатор накоплений'!F27,N('Навигатор накоплений'!G27),0))+0*LEN("V98"))</f>
        <v/>
      </c>
    </row>
    <row r="99" spans="1:22" ht="15" x14ac:dyDescent="0.2">
      <c r="A99" s="43">
        <v>5</v>
      </c>
      <c r="B99" s="45" t="str">
        <f>IF('Навигатор накоплений'!A36="","",EDATE('Навигатор накоплений'!C36,A99-1))</f>
        <v/>
      </c>
      <c r="C99" s="45" t="str">
        <f>IF(B99="","",EDATE('Навигатор накоплений'!C36,A99))</f>
        <v/>
      </c>
      <c r="D99" s="46" t="str">
        <f t="shared" si="39"/>
        <v/>
      </c>
      <c r="E99" s="46" t="str">
        <f>IF(B99="","",N('Навигатор накоплений'!G36))</f>
        <v/>
      </c>
      <c r="F99" s="46" t="str">
        <f>IF(B99="","",IF('Навигатор накоплений'!F36="Ежедневный остаток",D99+E99,D99))</f>
        <v/>
      </c>
      <c r="G99" s="48" t="str">
        <f t="shared" si="37"/>
        <v/>
      </c>
      <c r="H99" s="46" t="str">
        <f>IF(B99="","",ROUND(F99*'Навигатор накоплений'!E36*IF(YEAR(B99)=YEAR(C99-1),(C99-B99)/(DATE(YEAR(B99),12,31)-DATE(YEAR(B99),1,1)+1),(DATE(YEAR(B99)+1,1,1)-B99)/(DATE(YEAR(B99),12,31)-DATE(YEAR(B99),1,1)+1)+(C99-DATE(YEAR(C99),1,1))/(DATE(YEAR(C99),12,31)-DATE(YEAR(C99),1,1)+1)),2))</f>
        <v/>
      </c>
      <c r="I99" s="46" t="str">
        <f t="shared" si="38"/>
        <v/>
      </c>
      <c r="K99" s="45" t="str">
        <f>IF(OR(L98="",L98&gt;='Навигатор накоплений'!F22),"",(L98)+0*LEN("K99"))</f>
        <v/>
      </c>
      <c r="L99" s="45" t="str">
        <f>IF(K99="","",(MIN(EDATE(K99,1),'Навигатор накоплений'!F22))+0*LEN("L99"))</f>
        <v/>
      </c>
      <c r="M99" s="46" t="str">
        <f>IF(L99="","",(ROUND(M98*(1+'Навигатор накоплений'!D22*(IF(YEAR(K99)=YEAR(L99-1),(L99-K99)/(DATE(YEAR(K99),12,31)-DATE(YEAR(K99),1,1)+1),(DATE(YEAR(K99)+1,1,1)-K99)/(DATE(YEAR(K99),12,31)-DATE(YEAR(K99),1,1)+1)+(L99-DATE(YEAR(L99),1,1))/(DATE(YEAR(L99),12,31)-DATE(YEAR(L99),1,1)+1)))),2)+IF(L99&lt;'Навигатор накоплений'!F22,N('Навигатор накоплений'!G22),0))+0*LEN("M99"))</f>
        <v/>
      </c>
      <c r="N99" s="45" t="str">
        <f>IF(OR(O98="",O98&gt;='Навигатор накоплений'!F23),"",(O98)+0*LEN("N99"))</f>
        <v/>
      </c>
      <c r="O99" s="45" t="str">
        <f>IF(N99="","",(MIN(EDATE(N99,1),'Навигатор накоплений'!F23))+0*LEN("O99"))</f>
        <v/>
      </c>
      <c r="P99" s="46" t="str">
        <f>IF(O99="","",(ROUND(P98*(1+'Навигатор накоплений'!D23*(IF(YEAR(N99)=YEAR(O99-1),(O99-N99)/(DATE(YEAR(N99),12,31)-DATE(YEAR(N99),1,1)+1),(DATE(YEAR(N99)+1,1,1)-N99)/(DATE(YEAR(N99),12,31)-DATE(YEAR(N99),1,1)+1)+(O99-DATE(YEAR(O99),1,1))/(DATE(YEAR(O99),12,31)-DATE(YEAR(O99),1,1)+1)))),2)+IF(O99&lt;'Навигатор накоплений'!F23,N('Навигатор накоплений'!G23),0))+0*LEN("P99"))</f>
        <v/>
      </c>
      <c r="Q99" s="45" t="str">
        <f>IF(OR(R98="",R98&gt;='Навигатор накоплений'!F24),"",(R98)+0*LEN("Q99"))</f>
        <v/>
      </c>
      <c r="R99" s="45" t="str">
        <f>IF(Q99="","",(MIN(EDATE(Q99,1),'Навигатор накоплений'!F24))+0*LEN("R99"))</f>
        <v/>
      </c>
      <c r="S99" s="46" t="str">
        <f>IF(R99="","",(ROUND(S98*(1+'Навигатор накоплений'!D24*(IF(YEAR(Q99)=YEAR(R99-1),(R99-Q99)/(DATE(YEAR(Q99),12,31)-DATE(YEAR(Q99),1,1)+1),(DATE(YEAR(Q99)+1,1,1)-Q99)/(DATE(YEAR(Q99),12,31)-DATE(YEAR(Q99),1,1)+1)+(R99-DATE(YEAR(R99),1,1))/(DATE(YEAR(R99),12,31)-DATE(YEAR(R99),1,1)+1)))),2)+IF(R99&lt;'Навигатор накоплений'!F24,N('Навигатор накоплений'!G24),0))+0*LEN("S99"))</f>
        <v/>
      </c>
      <c r="T99" s="45" t="str">
        <f>IF(OR(U98="",U98&gt;='Навигатор накоплений'!F27),"",(U98)+0*LEN("T99"))</f>
        <v/>
      </c>
      <c r="U99" s="45" t="str">
        <f>IF(T99="","",(MIN(EDATE(T99,1),'Навигатор накоплений'!F27))+0*LEN("U99"))</f>
        <v/>
      </c>
      <c r="V99" s="46" t="str">
        <f>IF(U99="","",(ROUND(V98*(1+'Навигатор накоплений'!D27*(IF(YEAR(T99)=YEAR(U99-1),(U99-T99)/(DATE(YEAR(T99),12,31)-DATE(YEAR(T99),1,1)+1),(DATE(YEAR(T99)+1,1,1)-T99)/(DATE(YEAR(T99),12,31)-DATE(YEAR(T99),1,1)+1)+(U99-DATE(YEAR(U99),1,1))/(DATE(YEAR(U99),12,31)-DATE(YEAR(U99),1,1)+1)))),2)+IF(U99&lt;'Навигатор накоплений'!F27,N('Навигатор накоплений'!G27),0))+0*LEN("V99"))</f>
        <v/>
      </c>
    </row>
    <row r="100" spans="1:22" ht="15" x14ac:dyDescent="0.2">
      <c r="A100" s="43">
        <v>6</v>
      </c>
      <c r="B100" s="45" t="str">
        <f>IF('Навигатор накоплений'!A36="","",EDATE('Навигатор накоплений'!C36,A100-1))</f>
        <v/>
      </c>
      <c r="C100" s="45" t="str">
        <f>IF(B100="","",EDATE('Навигатор накоплений'!C36,A100))</f>
        <v/>
      </c>
      <c r="D100" s="46" t="str">
        <f t="shared" si="39"/>
        <v/>
      </c>
      <c r="E100" s="46" t="str">
        <f>IF(B100="","",N('Навигатор накоплений'!G36))</f>
        <v/>
      </c>
      <c r="F100" s="46" t="str">
        <f>IF(B100="","",IF('Навигатор накоплений'!F36="Ежедневный остаток",D100+E100,D100))</f>
        <v/>
      </c>
      <c r="G100" s="48" t="str">
        <f t="shared" si="37"/>
        <v/>
      </c>
      <c r="H100" s="46" t="str">
        <f>IF(B100="","",ROUND(F100*'Навигатор накоплений'!E36*IF(YEAR(B100)=YEAR(C100-1),(C100-B100)/(DATE(YEAR(B100),12,31)-DATE(YEAR(B100),1,1)+1),(DATE(YEAR(B100)+1,1,1)-B100)/(DATE(YEAR(B100),12,31)-DATE(YEAR(B100),1,1)+1)+(C100-DATE(YEAR(C100),1,1))/(DATE(YEAR(C100),12,31)-DATE(YEAR(C100),1,1)+1)),2))</f>
        <v/>
      </c>
      <c r="I100" s="46" t="str">
        <f t="shared" si="38"/>
        <v/>
      </c>
      <c r="K100" s="45" t="str">
        <f>IF(OR(L99="",L99&gt;='Навигатор накоплений'!F22),"",(L99)+0*LEN("K100"))</f>
        <v/>
      </c>
      <c r="L100" s="45" t="str">
        <f>IF(K100="","",(MIN(EDATE(K100,1),'Навигатор накоплений'!F22))+0*LEN("L100"))</f>
        <v/>
      </c>
      <c r="M100" s="46" t="str">
        <f>IF(L100="","",(ROUND(M99*(1+'Навигатор накоплений'!D22*(IF(YEAR(K100)=YEAR(L100-1),(L100-K100)/(DATE(YEAR(K100),12,31)-DATE(YEAR(K100),1,1)+1),(DATE(YEAR(K100)+1,1,1)-K100)/(DATE(YEAR(K100),12,31)-DATE(YEAR(K100),1,1)+1)+(L100-DATE(YEAR(L100),1,1))/(DATE(YEAR(L100),12,31)-DATE(YEAR(L100),1,1)+1)))),2)+IF(L100&lt;'Навигатор накоплений'!F22,N('Навигатор накоплений'!G22),0))+0*LEN("M100"))</f>
        <v/>
      </c>
      <c r="N100" s="45" t="str">
        <f>IF(OR(O99="",O99&gt;='Навигатор накоплений'!F23),"",(O99)+0*LEN("N100"))</f>
        <v/>
      </c>
      <c r="O100" s="45" t="str">
        <f>IF(N100="","",(MIN(EDATE(N100,1),'Навигатор накоплений'!F23))+0*LEN("O100"))</f>
        <v/>
      </c>
      <c r="P100" s="46" t="str">
        <f>IF(O100="","",(ROUND(P99*(1+'Навигатор накоплений'!D23*(IF(YEAR(N100)=YEAR(O100-1),(O100-N100)/(DATE(YEAR(N100),12,31)-DATE(YEAR(N100),1,1)+1),(DATE(YEAR(N100)+1,1,1)-N100)/(DATE(YEAR(N100),12,31)-DATE(YEAR(N100),1,1)+1)+(O100-DATE(YEAR(O100),1,1))/(DATE(YEAR(O100),12,31)-DATE(YEAR(O100),1,1)+1)))),2)+IF(O100&lt;'Навигатор накоплений'!F23,N('Навигатор накоплений'!G23),0))+0*LEN("P100"))</f>
        <v/>
      </c>
      <c r="Q100" s="45" t="str">
        <f>IF(OR(R99="",R99&gt;='Навигатор накоплений'!F24),"",(R99)+0*LEN("Q100"))</f>
        <v/>
      </c>
      <c r="R100" s="45" t="str">
        <f>IF(Q100="","",(MIN(EDATE(Q100,1),'Навигатор накоплений'!F24))+0*LEN("R100"))</f>
        <v/>
      </c>
      <c r="S100" s="46" t="str">
        <f>IF(R100="","",(ROUND(S99*(1+'Навигатор накоплений'!D24*(IF(YEAR(Q100)=YEAR(R100-1),(R100-Q100)/(DATE(YEAR(Q100),12,31)-DATE(YEAR(Q100),1,1)+1),(DATE(YEAR(Q100)+1,1,1)-Q100)/(DATE(YEAR(Q100),12,31)-DATE(YEAR(Q100),1,1)+1)+(R100-DATE(YEAR(R100),1,1))/(DATE(YEAR(R100),12,31)-DATE(YEAR(R100),1,1)+1)))),2)+IF(R100&lt;'Навигатор накоплений'!F24,N('Навигатор накоплений'!G24),0))+0*LEN("S100"))</f>
        <v/>
      </c>
      <c r="T100" s="45" t="str">
        <f>IF(OR(U99="",U99&gt;='Навигатор накоплений'!F27),"",(U99)+0*LEN("T100"))</f>
        <v/>
      </c>
      <c r="U100" s="45" t="str">
        <f>IF(T100="","",(MIN(EDATE(T100,1),'Навигатор накоплений'!F27))+0*LEN("U100"))</f>
        <v/>
      </c>
      <c r="V100" s="46" t="str">
        <f>IF(U100="","",(ROUND(V99*(1+'Навигатор накоплений'!D27*(IF(YEAR(T100)=YEAR(U100-1),(U100-T100)/(DATE(YEAR(T100),12,31)-DATE(YEAR(T100),1,1)+1),(DATE(YEAR(T100)+1,1,1)-T100)/(DATE(YEAR(T100),12,31)-DATE(YEAR(T100),1,1)+1)+(U100-DATE(YEAR(U100),1,1))/(DATE(YEAR(U100),12,31)-DATE(YEAR(U100),1,1)+1)))),2)+IF(U100&lt;'Навигатор накоплений'!F27,N('Навигатор накоплений'!G27),0))+0*LEN("V100"))</f>
        <v/>
      </c>
    </row>
    <row r="101" spans="1:22" ht="15" x14ac:dyDescent="0.2">
      <c r="A101" s="43">
        <v>7</v>
      </c>
      <c r="B101" s="45" t="str">
        <f>IF('Навигатор накоплений'!A36="","",EDATE('Навигатор накоплений'!C36,A101-1))</f>
        <v/>
      </c>
      <c r="C101" s="45" t="str">
        <f>IF(B101="","",EDATE('Навигатор накоплений'!C36,A101))</f>
        <v/>
      </c>
      <c r="D101" s="46" t="str">
        <f t="shared" si="39"/>
        <v/>
      </c>
      <c r="E101" s="46" t="str">
        <f>IF(B101="","",N('Навигатор накоплений'!G36))</f>
        <v/>
      </c>
      <c r="F101" s="46" t="str">
        <f>IF(B101="","",IF('Навигатор накоплений'!F36="Ежедневный остаток",D101+E101,D101))</f>
        <v/>
      </c>
      <c r="G101" s="48" t="str">
        <f t="shared" si="37"/>
        <v/>
      </c>
      <c r="H101" s="46" t="str">
        <f>IF(B101="","",ROUND(F101*'Навигатор накоплений'!E36*IF(YEAR(B101)=YEAR(C101-1),(C101-B101)/(DATE(YEAR(B101),12,31)-DATE(YEAR(B101),1,1)+1),(DATE(YEAR(B101)+1,1,1)-B101)/(DATE(YEAR(B101),12,31)-DATE(YEAR(B101),1,1)+1)+(C101-DATE(YEAR(C101),1,1))/(DATE(YEAR(C101),12,31)-DATE(YEAR(C101),1,1)+1)),2))</f>
        <v/>
      </c>
      <c r="I101" s="46" t="str">
        <f t="shared" si="38"/>
        <v/>
      </c>
      <c r="K101" s="45" t="str">
        <f>IF(OR(L100="",L100&gt;='Навигатор накоплений'!F22),"",(L100)+0*LEN("K101"))</f>
        <v/>
      </c>
      <c r="L101" s="45" t="str">
        <f>IF(K101="","",(MIN(EDATE(K101,1),'Навигатор накоплений'!F22))+0*LEN("L101"))</f>
        <v/>
      </c>
      <c r="M101" s="46" t="str">
        <f>IF(L101="","",(ROUND(M100*(1+'Навигатор накоплений'!D22*(IF(YEAR(K101)=YEAR(L101-1),(L101-K101)/(DATE(YEAR(K101),12,31)-DATE(YEAR(K101),1,1)+1),(DATE(YEAR(K101)+1,1,1)-K101)/(DATE(YEAR(K101),12,31)-DATE(YEAR(K101),1,1)+1)+(L101-DATE(YEAR(L101),1,1))/(DATE(YEAR(L101),12,31)-DATE(YEAR(L101),1,1)+1)))),2)+IF(L101&lt;'Навигатор накоплений'!F22,N('Навигатор накоплений'!G22),0))+0*LEN("M101"))</f>
        <v/>
      </c>
      <c r="N101" s="45" t="str">
        <f>IF(OR(O100="",O100&gt;='Навигатор накоплений'!F23),"",(O100)+0*LEN("N101"))</f>
        <v/>
      </c>
      <c r="O101" s="45" t="str">
        <f>IF(N101="","",(MIN(EDATE(N101,1),'Навигатор накоплений'!F23))+0*LEN("O101"))</f>
        <v/>
      </c>
      <c r="P101" s="46" t="str">
        <f>IF(O101="","",(ROUND(P100*(1+'Навигатор накоплений'!D23*(IF(YEAR(N101)=YEAR(O101-1),(O101-N101)/(DATE(YEAR(N101),12,31)-DATE(YEAR(N101),1,1)+1),(DATE(YEAR(N101)+1,1,1)-N101)/(DATE(YEAR(N101),12,31)-DATE(YEAR(N101),1,1)+1)+(O101-DATE(YEAR(O101),1,1))/(DATE(YEAR(O101),12,31)-DATE(YEAR(O101),1,1)+1)))),2)+IF(O101&lt;'Навигатор накоплений'!F23,N('Навигатор накоплений'!G23),0))+0*LEN("P101"))</f>
        <v/>
      </c>
      <c r="Q101" s="45" t="str">
        <f>IF(OR(R100="",R100&gt;='Навигатор накоплений'!F24),"",(R100)+0*LEN("Q101"))</f>
        <v/>
      </c>
      <c r="R101" s="45" t="str">
        <f>IF(Q101="","",(MIN(EDATE(Q101,1),'Навигатор накоплений'!F24))+0*LEN("R101"))</f>
        <v/>
      </c>
      <c r="S101" s="46" t="str">
        <f>IF(R101="","",(ROUND(S100*(1+'Навигатор накоплений'!D24*(IF(YEAR(Q101)=YEAR(R101-1),(R101-Q101)/(DATE(YEAR(Q101),12,31)-DATE(YEAR(Q101),1,1)+1),(DATE(YEAR(Q101)+1,1,1)-Q101)/(DATE(YEAR(Q101),12,31)-DATE(YEAR(Q101),1,1)+1)+(R101-DATE(YEAR(R101),1,1))/(DATE(YEAR(R101),12,31)-DATE(YEAR(R101),1,1)+1)))),2)+IF(R101&lt;'Навигатор накоплений'!F24,N('Навигатор накоплений'!G24),0))+0*LEN("S101"))</f>
        <v/>
      </c>
      <c r="T101" s="45" t="str">
        <f>IF(OR(U100="",U100&gt;='Навигатор накоплений'!F27),"",(U100)+0*LEN("T101"))</f>
        <v/>
      </c>
      <c r="U101" s="45" t="str">
        <f>IF(T101="","",(MIN(EDATE(T101,1),'Навигатор накоплений'!F27))+0*LEN("U101"))</f>
        <v/>
      </c>
      <c r="V101" s="46" t="str">
        <f>IF(U101="","",(ROUND(V100*(1+'Навигатор накоплений'!D27*(IF(YEAR(T101)=YEAR(U101-1),(U101-T101)/(DATE(YEAR(T101),12,31)-DATE(YEAR(T101),1,1)+1),(DATE(YEAR(T101)+1,1,1)-T101)/(DATE(YEAR(T101),12,31)-DATE(YEAR(T101),1,1)+1)+(U101-DATE(YEAR(U101),1,1))/(DATE(YEAR(U101),12,31)-DATE(YEAR(U101),1,1)+1)))),2)+IF(U101&lt;'Навигатор накоплений'!F27,N('Навигатор накоплений'!G27),0))+0*LEN("V101"))</f>
        <v/>
      </c>
    </row>
    <row r="102" spans="1:22" ht="15" x14ac:dyDescent="0.2">
      <c r="A102" s="43">
        <v>8</v>
      </c>
      <c r="B102" s="45" t="str">
        <f>IF('Навигатор накоплений'!A36="","",EDATE('Навигатор накоплений'!C36,A102-1))</f>
        <v/>
      </c>
      <c r="C102" s="45" t="str">
        <f>IF(B102="","",EDATE('Навигатор накоплений'!C36,A102))</f>
        <v/>
      </c>
      <c r="D102" s="46" t="str">
        <f t="shared" si="39"/>
        <v/>
      </c>
      <c r="E102" s="46" t="str">
        <f>IF(B102="","",N('Навигатор накоплений'!G36))</f>
        <v/>
      </c>
      <c r="F102" s="46" t="str">
        <f>IF(B102="","",IF('Навигатор накоплений'!F36="Ежедневный остаток",D102+E102,D102))</f>
        <v/>
      </c>
      <c r="G102" s="48" t="str">
        <f t="shared" si="37"/>
        <v/>
      </c>
      <c r="H102" s="46" t="str">
        <f>IF(B102="","",ROUND(F102*'Навигатор накоплений'!E36*IF(YEAR(B102)=YEAR(C102-1),(C102-B102)/(DATE(YEAR(B102),12,31)-DATE(YEAR(B102),1,1)+1),(DATE(YEAR(B102)+1,1,1)-B102)/(DATE(YEAR(B102),12,31)-DATE(YEAR(B102),1,1)+1)+(C102-DATE(YEAR(C102),1,1))/(DATE(YEAR(C102),12,31)-DATE(YEAR(C102),1,1)+1)),2))</f>
        <v/>
      </c>
      <c r="I102" s="46" t="str">
        <f t="shared" si="38"/>
        <v/>
      </c>
      <c r="K102" s="45" t="str">
        <f>IF(OR(L101="",L101&gt;='Навигатор накоплений'!F22),"",(L101)+0*LEN("K102"))</f>
        <v/>
      </c>
      <c r="L102" s="45" t="str">
        <f>IF(K102="","",(MIN(EDATE(K102,1),'Навигатор накоплений'!F22))+0*LEN("L102"))</f>
        <v/>
      </c>
      <c r="M102" s="46" t="str">
        <f>IF(L102="","",(ROUND(M101*(1+'Навигатор накоплений'!D22*(IF(YEAR(K102)=YEAR(L102-1),(L102-K102)/(DATE(YEAR(K102),12,31)-DATE(YEAR(K102),1,1)+1),(DATE(YEAR(K102)+1,1,1)-K102)/(DATE(YEAR(K102),12,31)-DATE(YEAR(K102),1,1)+1)+(L102-DATE(YEAR(L102),1,1))/(DATE(YEAR(L102),12,31)-DATE(YEAR(L102),1,1)+1)))),2)+IF(L102&lt;'Навигатор накоплений'!F22,N('Навигатор накоплений'!G22),0))+0*LEN("M102"))</f>
        <v/>
      </c>
      <c r="N102" s="45" t="str">
        <f>IF(OR(O101="",O101&gt;='Навигатор накоплений'!F23),"",(O101)+0*LEN("N102"))</f>
        <v/>
      </c>
      <c r="O102" s="45" t="str">
        <f>IF(N102="","",(MIN(EDATE(N102,1),'Навигатор накоплений'!F23))+0*LEN("O102"))</f>
        <v/>
      </c>
      <c r="P102" s="46" t="str">
        <f>IF(O102="","",(ROUND(P101*(1+'Навигатор накоплений'!D23*(IF(YEAR(N102)=YEAR(O102-1),(O102-N102)/(DATE(YEAR(N102),12,31)-DATE(YEAR(N102),1,1)+1),(DATE(YEAR(N102)+1,1,1)-N102)/(DATE(YEAR(N102),12,31)-DATE(YEAR(N102),1,1)+1)+(O102-DATE(YEAR(O102),1,1))/(DATE(YEAR(O102),12,31)-DATE(YEAR(O102),1,1)+1)))),2)+IF(O102&lt;'Навигатор накоплений'!F23,N('Навигатор накоплений'!G23),0))+0*LEN("P102"))</f>
        <v/>
      </c>
      <c r="Q102" s="45" t="str">
        <f>IF(OR(R101="",R101&gt;='Навигатор накоплений'!F24),"",(R101)+0*LEN("Q102"))</f>
        <v/>
      </c>
      <c r="R102" s="45" t="str">
        <f>IF(Q102="","",(MIN(EDATE(Q102,1),'Навигатор накоплений'!F24))+0*LEN("R102"))</f>
        <v/>
      </c>
      <c r="S102" s="46" t="str">
        <f>IF(R102="","",(ROUND(S101*(1+'Навигатор накоплений'!D24*(IF(YEAR(Q102)=YEAR(R102-1),(R102-Q102)/(DATE(YEAR(Q102),12,31)-DATE(YEAR(Q102),1,1)+1),(DATE(YEAR(Q102)+1,1,1)-Q102)/(DATE(YEAR(Q102),12,31)-DATE(YEAR(Q102),1,1)+1)+(R102-DATE(YEAR(R102),1,1))/(DATE(YEAR(R102),12,31)-DATE(YEAR(R102),1,1)+1)))),2)+IF(R102&lt;'Навигатор накоплений'!F24,N('Навигатор накоплений'!G24),0))+0*LEN("S102"))</f>
        <v/>
      </c>
      <c r="T102" s="45" t="str">
        <f>IF(OR(U101="",U101&gt;='Навигатор накоплений'!F27),"",(U101)+0*LEN("T102"))</f>
        <v/>
      </c>
      <c r="U102" s="45" t="str">
        <f>IF(T102="","",(MIN(EDATE(T102,1),'Навигатор накоплений'!F27))+0*LEN("U102"))</f>
        <v/>
      </c>
      <c r="V102" s="46" t="str">
        <f>IF(U102="","",(ROUND(V101*(1+'Навигатор накоплений'!D27*(IF(YEAR(T102)=YEAR(U102-1),(U102-T102)/(DATE(YEAR(T102),12,31)-DATE(YEAR(T102),1,1)+1),(DATE(YEAR(T102)+1,1,1)-T102)/(DATE(YEAR(T102),12,31)-DATE(YEAR(T102),1,1)+1)+(U102-DATE(YEAR(U102),1,1))/(DATE(YEAR(U102),12,31)-DATE(YEAR(U102),1,1)+1)))),2)+IF(U102&lt;'Навигатор накоплений'!F27,N('Навигатор накоплений'!G27),0))+0*LEN("V102"))</f>
        <v/>
      </c>
    </row>
    <row r="103" spans="1:22" ht="15" x14ac:dyDescent="0.2">
      <c r="A103" s="43">
        <v>9</v>
      </c>
      <c r="B103" s="45" t="str">
        <f>IF('Навигатор накоплений'!A36="","",EDATE('Навигатор накоплений'!C36,A103-1))</f>
        <v/>
      </c>
      <c r="C103" s="45" t="str">
        <f>IF(B103="","",EDATE('Навигатор накоплений'!C36,A103))</f>
        <v/>
      </c>
      <c r="D103" s="46" t="str">
        <f t="shared" si="39"/>
        <v/>
      </c>
      <c r="E103" s="46" t="str">
        <f>IF(B103="","",N('Навигатор накоплений'!G36))</f>
        <v/>
      </c>
      <c r="F103" s="46" t="str">
        <f>IF(B103="","",IF('Навигатор накоплений'!F36="Ежедневный остаток",D103+E103,D103))</f>
        <v/>
      </c>
      <c r="G103" s="48" t="str">
        <f t="shared" si="37"/>
        <v/>
      </c>
      <c r="H103" s="46" t="str">
        <f>IF(B103="","",ROUND(F103*'Навигатор накоплений'!E36*IF(YEAR(B103)=YEAR(C103-1),(C103-B103)/(DATE(YEAR(B103),12,31)-DATE(YEAR(B103),1,1)+1),(DATE(YEAR(B103)+1,1,1)-B103)/(DATE(YEAR(B103),12,31)-DATE(YEAR(B103),1,1)+1)+(C103-DATE(YEAR(C103),1,1))/(DATE(YEAR(C103),12,31)-DATE(YEAR(C103),1,1)+1)),2))</f>
        <v/>
      </c>
      <c r="I103" s="46" t="str">
        <f t="shared" si="38"/>
        <v/>
      </c>
      <c r="K103" s="45" t="str">
        <f>IF(OR(L102="",L102&gt;='Навигатор накоплений'!F22),"",(L102)+0*LEN("K103"))</f>
        <v/>
      </c>
      <c r="L103" s="45" t="str">
        <f>IF(K103="","",(MIN(EDATE(K103,1),'Навигатор накоплений'!F22))+0*LEN("L103"))</f>
        <v/>
      </c>
      <c r="M103" s="46" t="str">
        <f>IF(L103="","",(ROUND(M102*(1+'Навигатор накоплений'!D22*(IF(YEAR(K103)=YEAR(L103-1),(L103-K103)/(DATE(YEAR(K103),12,31)-DATE(YEAR(K103),1,1)+1),(DATE(YEAR(K103)+1,1,1)-K103)/(DATE(YEAR(K103),12,31)-DATE(YEAR(K103),1,1)+1)+(L103-DATE(YEAR(L103),1,1))/(DATE(YEAR(L103),12,31)-DATE(YEAR(L103),1,1)+1)))),2)+IF(L103&lt;'Навигатор накоплений'!F22,N('Навигатор накоплений'!G22),0))+0*LEN("M103"))</f>
        <v/>
      </c>
      <c r="N103" s="45" t="str">
        <f>IF(OR(O102="",O102&gt;='Навигатор накоплений'!F23),"",(O102)+0*LEN("N103"))</f>
        <v/>
      </c>
      <c r="O103" s="45" t="str">
        <f>IF(N103="","",(MIN(EDATE(N103,1),'Навигатор накоплений'!F23))+0*LEN("O103"))</f>
        <v/>
      </c>
      <c r="P103" s="46" t="str">
        <f>IF(O103="","",(ROUND(P102*(1+'Навигатор накоплений'!D23*(IF(YEAR(N103)=YEAR(O103-1),(O103-N103)/(DATE(YEAR(N103),12,31)-DATE(YEAR(N103),1,1)+1),(DATE(YEAR(N103)+1,1,1)-N103)/(DATE(YEAR(N103),12,31)-DATE(YEAR(N103),1,1)+1)+(O103-DATE(YEAR(O103),1,1))/(DATE(YEAR(O103),12,31)-DATE(YEAR(O103),1,1)+1)))),2)+IF(O103&lt;'Навигатор накоплений'!F23,N('Навигатор накоплений'!G23),0))+0*LEN("P103"))</f>
        <v/>
      </c>
      <c r="Q103" s="45" t="str">
        <f>IF(OR(R102="",R102&gt;='Навигатор накоплений'!F24),"",(R102)+0*LEN("Q103"))</f>
        <v/>
      </c>
      <c r="R103" s="45" t="str">
        <f>IF(Q103="","",(MIN(EDATE(Q103,1),'Навигатор накоплений'!F24))+0*LEN("R103"))</f>
        <v/>
      </c>
      <c r="S103" s="46" t="str">
        <f>IF(R103="","",(ROUND(S102*(1+'Навигатор накоплений'!D24*(IF(YEAR(Q103)=YEAR(R103-1),(R103-Q103)/(DATE(YEAR(Q103),12,31)-DATE(YEAR(Q103),1,1)+1),(DATE(YEAR(Q103)+1,1,1)-Q103)/(DATE(YEAR(Q103),12,31)-DATE(YEAR(Q103),1,1)+1)+(R103-DATE(YEAR(R103),1,1))/(DATE(YEAR(R103),12,31)-DATE(YEAR(R103),1,1)+1)))),2)+IF(R103&lt;'Навигатор накоплений'!F24,N('Навигатор накоплений'!G24),0))+0*LEN("S103"))</f>
        <v/>
      </c>
      <c r="T103" s="45" t="str">
        <f>IF(OR(U102="",U102&gt;='Навигатор накоплений'!F27),"",(U102)+0*LEN("T103"))</f>
        <v/>
      </c>
      <c r="U103" s="45" t="str">
        <f>IF(T103="","",(MIN(EDATE(T103,1),'Навигатор накоплений'!F27))+0*LEN("U103"))</f>
        <v/>
      </c>
      <c r="V103" s="46" t="str">
        <f>IF(U103="","",(ROUND(V102*(1+'Навигатор накоплений'!D27*(IF(YEAR(T103)=YEAR(U103-1),(U103-T103)/(DATE(YEAR(T103),12,31)-DATE(YEAR(T103),1,1)+1),(DATE(YEAR(T103)+1,1,1)-T103)/(DATE(YEAR(T103),12,31)-DATE(YEAR(T103),1,1)+1)+(U103-DATE(YEAR(U103),1,1))/(DATE(YEAR(U103),12,31)-DATE(YEAR(U103),1,1)+1)))),2)+IF(U103&lt;'Навигатор накоплений'!F27,N('Навигатор накоплений'!G27),0))+0*LEN("V103"))</f>
        <v/>
      </c>
    </row>
    <row r="104" spans="1:22" ht="15" x14ac:dyDescent="0.2">
      <c r="A104" s="43">
        <v>10</v>
      </c>
      <c r="B104" s="45" t="str">
        <f>IF('Навигатор накоплений'!A36="","",EDATE('Навигатор накоплений'!C36,A104-1))</f>
        <v/>
      </c>
      <c r="C104" s="45" t="str">
        <f>IF(B104="","",EDATE('Навигатор накоплений'!C36,A104))</f>
        <v/>
      </c>
      <c r="D104" s="46" t="str">
        <f t="shared" si="39"/>
        <v/>
      </c>
      <c r="E104" s="46" t="str">
        <f>IF(B104="","",N('Навигатор накоплений'!G36))</f>
        <v/>
      </c>
      <c r="F104" s="46" t="str">
        <f>IF(B104="","",IF('Навигатор накоплений'!F36="Ежедневный остаток",D104+E104,D104))</f>
        <v/>
      </c>
      <c r="G104" s="48" t="str">
        <f t="shared" si="37"/>
        <v/>
      </c>
      <c r="H104" s="46" t="str">
        <f>IF(B104="","",ROUND(F104*'Навигатор накоплений'!E36*IF(YEAR(B104)=YEAR(C104-1),(C104-B104)/(DATE(YEAR(B104),12,31)-DATE(YEAR(B104),1,1)+1),(DATE(YEAR(B104)+1,1,1)-B104)/(DATE(YEAR(B104),12,31)-DATE(YEAR(B104),1,1)+1)+(C104-DATE(YEAR(C104),1,1))/(DATE(YEAR(C104),12,31)-DATE(YEAR(C104),1,1)+1)),2))</f>
        <v/>
      </c>
      <c r="I104" s="46" t="str">
        <f t="shared" si="38"/>
        <v/>
      </c>
      <c r="K104" s="45" t="str">
        <f>IF(OR(L103="",L103&gt;='Навигатор накоплений'!F22),"",(L103)+0*LEN("K104"))</f>
        <v/>
      </c>
      <c r="L104" s="45" t="str">
        <f>IF(K104="","",(MIN(EDATE(K104,1),'Навигатор накоплений'!F22))+0*LEN("L104"))</f>
        <v/>
      </c>
      <c r="M104" s="46" t="str">
        <f>IF(L104="","",(ROUND(M103*(1+'Навигатор накоплений'!D22*(IF(YEAR(K104)=YEAR(L104-1),(L104-K104)/(DATE(YEAR(K104),12,31)-DATE(YEAR(K104),1,1)+1),(DATE(YEAR(K104)+1,1,1)-K104)/(DATE(YEAR(K104),12,31)-DATE(YEAR(K104),1,1)+1)+(L104-DATE(YEAR(L104),1,1))/(DATE(YEAR(L104),12,31)-DATE(YEAR(L104),1,1)+1)))),2)+IF(L104&lt;'Навигатор накоплений'!F22,N('Навигатор накоплений'!G22),0))+0*LEN("M104"))</f>
        <v/>
      </c>
      <c r="N104" s="45" t="str">
        <f>IF(OR(O103="",O103&gt;='Навигатор накоплений'!F23),"",(O103)+0*LEN("N104"))</f>
        <v/>
      </c>
      <c r="O104" s="45" t="str">
        <f>IF(N104="","",(MIN(EDATE(N104,1),'Навигатор накоплений'!F23))+0*LEN("O104"))</f>
        <v/>
      </c>
      <c r="P104" s="46" t="str">
        <f>IF(O104="","",(ROUND(P103*(1+'Навигатор накоплений'!D23*(IF(YEAR(N104)=YEAR(O104-1),(O104-N104)/(DATE(YEAR(N104),12,31)-DATE(YEAR(N104),1,1)+1),(DATE(YEAR(N104)+1,1,1)-N104)/(DATE(YEAR(N104),12,31)-DATE(YEAR(N104),1,1)+1)+(O104-DATE(YEAR(O104),1,1))/(DATE(YEAR(O104),12,31)-DATE(YEAR(O104),1,1)+1)))),2)+IF(O104&lt;'Навигатор накоплений'!F23,N('Навигатор накоплений'!G23),0))+0*LEN("P104"))</f>
        <v/>
      </c>
      <c r="Q104" s="45" t="str">
        <f>IF(OR(R103="",R103&gt;='Навигатор накоплений'!F24),"",(R103)+0*LEN("Q104"))</f>
        <v/>
      </c>
      <c r="R104" s="45" t="str">
        <f>IF(Q104="","",(MIN(EDATE(Q104,1),'Навигатор накоплений'!F24))+0*LEN("R104"))</f>
        <v/>
      </c>
      <c r="S104" s="46" t="str">
        <f>IF(R104="","",(ROUND(S103*(1+'Навигатор накоплений'!D24*(IF(YEAR(Q104)=YEAR(R104-1),(R104-Q104)/(DATE(YEAR(Q104),12,31)-DATE(YEAR(Q104),1,1)+1),(DATE(YEAR(Q104)+1,1,1)-Q104)/(DATE(YEAR(Q104),12,31)-DATE(YEAR(Q104),1,1)+1)+(R104-DATE(YEAR(R104),1,1))/(DATE(YEAR(R104),12,31)-DATE(YEAR(R104),1,1)+1)))),2)+IF(R104&lt;'Навигатор накоплений'!F24,N('Навигатор накоплений'!G24),0))+0*LEN("S104"))</f>
        <v/>
      </c>
      <c r="T104" s="45" t="str">
        <f>IF(OR(U103="",U103&gt;='Навигатор накоплений'!F27),"",(U103)+0*LEN("T104"))</f>
        <v/>
      </c>
      <c r="U104" s="45" t="str">
        <f>IF(T104="","",(MIN(EDATE(T104,1),'Навигатор накоплений'!F27))+0*LEN("U104"))</f>
        <v/>
      </c>
      <c r="V104" s="46" t="str">
        <f>IF(U104="","",(ROUND(V103*(1+'Навигатор накоплений'!D27*(IF(YEAR(T104)=YEAR(U104-1),(U104-T104)/(DATE(YEAR(T104),12,31)-DATE(YEAR(T104),1,1)+1),(DATE(YEAR(T104)+1,1,1)-T104)/(DATE(YEAR(T104),12,31)-DATE(YEAR(T104),1,1)+1)+(U104-DATE(YEAR(U104),1,1))/(DATE(YEAR(U104),12,31)-DATE(YEAR(U104),1,1)+1)))),2)+IF(U104&lt;'Навигатор накоплений'!F27,N('Навигатор накоплений'!G27),0))+0*LEN("V104"))</f>
        <v/>
      </c>
    </row>
    <row r="105" spans="1:22" ht="15" x14ac:dyDescent="0.2">
      <c r="A105" s="43">
        <v>11</v>
      </c>
      <c r="B105" s="45" t="str">
        <f>IF('Навигатор накоплений'!A36="","",EDATE('Навигатор накоплений'!C36,A105-1))</f>
        <v/>
      </c>
      <c r="C105" s="45" t="str">
        <f>IF(B105="","",EDATE('Навигатор накоплений'!C36,A105))</f>
        <v/>
      </c>
      <c r="D105" s="46" t="str">
        <f t="shared" si="39"/>
        <v/>
      </c>
      <c r="E105" s="46" t="str">
        <f>IF(B105="","",N('Навигатор накоплений'!G36))</f>
        <v/>
      </c>
      <c r="F105" s="46" t="str">
        <f>IF(B105="","",IF('Навигатор накоплений'!F36="Ежедневный остаток",D105+E105,D105))</f>
        <v/>
      </c>
      <c r="G105" s="48" t="str">
        <f t="shared" si="37"/>
        <v/>
      </c>
      <c r="H105" s="46" t="str">
        <f>IF(B105="","",ROUND(F105*'Навигатор накоплений'!E36*IF(YEAR(B105)=YEAR(C105-1),(C105-B105)/(DATE(YEAR(B105),12,31)-DATE(YEAR(B105),1,1)+1),(DATE(YEAR(B105)+1,1,1)-B105)/(DATE(YEAR(B105),12,31)-DATE(YEAR(B105),1,1)+1)+(C105-DATE(YEAR(C105),1,1))/(DATE(YEAR(C105),12,31)-DATE(YEAR(C105),1,1)+1)),2))</f>
        <v/>
      </c>
      <c r="I105" s="46" t="str">
        <f t="shared" si="38"/>
        <v/>
      </c>
      <c r="K105" s="45" t="str">
        <f>IF(OR(L104="",L104&gt;='Навигатор накоплений'!F22),"",(L104)+0*LEN("K105"))</f>
        <v/>
      </c>
      <c r="L105" s="45" t="str">
        <f>IF(K105="","",(MIN(EDATE(K105,1),'Навигатор накоплений'!F22))+0*LEN("L105"))</f>
        <v/>
      </c>
      <c r="M105" s="46" t="str">
        <f>IF(L105="","",(ROUND(M104*(1+'Навигатор накоплений'!D22*(IF(YEAR(K105)=YEAR(L105-1),(L105-K105)/(DATE(YEAR(K105),12,31)-DATE(YEAR(K105),1,1)+1),(DATE(YEAR(K105)+1,1,1)-K105)/(DATE(YEAR(K105),12,31)-DATE(YEAR(K105),1,1)+1)+(L105-DATE(YEAR(L105),1,1))/(DATE(YEAR(L105),12,31)-DATE(YEAR(L105),1,1)+1)))),2)+IF(L105&lt;'Навигатор накоплений'!F22,N('Навигатор накоплений'!G22),0))+0*LEN("M105"))</f>
        <v/>
      </c>
      <c r="N105" s="45" t="str">
        <f>IF(OR(O104="",O104&gt;='Навигатор накоплений'!F23),"",(O104)+0*LEN("N105"))</f>
        <v/>
      </c>
      <c r="O105" s="45" t="str">
        <f>IF(N105="","",(MIN(EDATE(N105,1),'Навигатор накоплений'!F23))+0*LEN("O105"))</f>
        <v/>
      </c>
      <c r="P105" s="46" t="str">
        <f>IF(O105="","",(ROUND(P104*(1+'Навигатор накоплений'!D23*(IF(YEAR(N105)=YEAR(O105-1),(O105-N105)/(DATE(YEAR(N105),12,31)-DATE(YEAR(N105),1,1)+1),(DATE(YEAR(N105)+1,1,1)-N105)/(DATE(YEAR(N105),12,31)-DATE(YEAR(N105),1,1)+1)+(O105-DATE(YEAR(O105),1,1))/(DATE(YEAR(O105),12,31)-DATE(YEAR(O105),1,1)+1)))),2)+IF(O105&lt;'Навигатор накоплений'!F23,N('Навигатор накоплений'!G23),0))+0*LEN("P105"))</f>
        <v/>
      </c>
      <c r="Q105" s="45" t="str">
        <f>IF(OR(R104="",R104&gt;='Навигатор накоплений'!F24),"",(R104)+0*LEN("Q105"))</f>
        <v/>
      </c>
      <c r="R105" s="45" t="str">
        <f>IF(Q105="","",(MIN(EDATE(Q105,1),'Навигатор накоплений'!F24))+0*LEN("R105"))</f>
        <v/>
      </c>
      <c r="S105" s="46" t="str">
        <f>IF(R105="","",(ROUND(S104*(1+'Навигатор накоплений'!D24*(IF(YEAR(Q105)=YEAR(R105-1),(R105-Q105)/(DATE(YEAR(Q105),12,31)-DATE(YEAR(Q105),1,1)+1),(DATE(YEAR(Q105)+1,1,1)-Q105)/(DATE(YEAR(Q105),12,31)-DATE(YEAR(Q105),1,1)+1)+(R105-DATE(YEAR(R105),1,1))/(DATE(YEAR(R105),12,31)-DATE(YEAR(R105),1,1)+1)))),2)+IF(R105&lt;'Навигатор накоплений'!F24,N('Навигатор накоплений'!G24),0))+0*LEN("S105"))</f>
        <v/>
      </c>
      <c r="T105" s="45" t="str">
        <f>IF(OR(U104="",U104&gt;='Навигатор накоплений'!F27),"",(U104)+0*LEN("T105"))</f>
        <v/>
      </c>
      <c r="U105" s="45" t="str">
        <f>IF(T105="","",(MIN(EDATE(T105,1),'Навигатор накоплений'!F27))+0*LEN("U105"))</f>
        <v/>
      </c>
      <c r="V105" s="46" t="str">
        <f>IF(U105="","",(ROUND(V104*(1+'Навигатор накоплений'!D27*(IF(YEAR(T105)=YEAR(U105-1),(U105-T105)/(DATE(YEAR(T105),12,31)-DATE(YEAR(T105),1,1)+1),(DATE(YEAR(T105)+1,1,1)-T105)/(DATE(YEAR(T105),12,31)-DATE(YEAR(T105),1,1)+1)+(U105-DATE(YEAR(U105),1,1))/(DATE(YEAR(U105),12,31)-DATE(YEAR(U105),1,1)+1)))),2)+IF(U105&lt;'Навигатор накоплений'!F27,N('Навигатор накоплений'!G27),0))+0*LEN("V105"))</f>
        <v/>
      </c>
    </row>
    <row r="106" spans="1:22" ht="15" x14ac:dyDescent="0.2">
      <c r="A106" s="43">
        <v>12</v>
      </c>
      <c r="B106" s="45" t="str">
        <f>IF('Навигатор накоплений'!A36="","",EDATE('Навигатор накоплений'!C36,A106-1))</f>
        <v/>
      </c>
      <c r="C106" s="45" t="str">
        <f>IF(B106="","",EDATE('Навигатор накоплений'!C36,A106))</f>
        <v/>
      </c>
      <c r="D106" s="46" t="str">
        <f t="shared" si="39"/>
        <v/>
      </c>
      <c r="E106" s="46" t="str">
        <f>IF(B106="","",N('Навигатор накоплений'!G36))</f>
        <v/>
      </c>
      <c r="F106" s="46" t="str">
        <f>IF(B106="","",IF('Навигатор накоплений'!F36="Ежедневный остаток",D106+E106,D106))</f>
        <v/>
      </c>
      <c r="G106" s="48" t="str">
        <f t="shared" si="37"/>
        <v/>
      </c>
      <c r="H106" s="46" t="str">
        <f>IF(B106="","",ROUND(F106*'Навигатор накоплений'!E36*IF(YEAR(B106)=YEAR(C106-1),(C106-B106)/(DATE(YEAR(B106),12,31)-DATE(YEAR(B106),1,1)+1),(DATE(YEAR(B106)+1,1,1)-B106)/(DATE(YEAR(B106),12,31)-DATE(YEAR(B106),1,1)+1)+(C106-DATE(YEAR(C106),1,1))/(DATE(YEAR(C106),12,31)-DATE(YEAR(C106),1,1)+1)),2))</f>
        <v/>
      </c>
      <c r="I106" s="46" t="str">
        <f t="shared" si="38"/>
        <v/>
      </c>
      <c r="K106" s="45" t="str">
        <f>IF(OR(L105="",L105&gt;='Навигатор накоплений'!F22),"",(L105)+0*LEN("K106"))</f>
        <v/>
      </c>
      <c r="L106" s="45" t="str">
        <f>IF(K106="","",(MIN(EDATE(K106,1),'Навигатор накоплений'!F22))+0*LEN("L106"))</f>
        <v/>
      </c>
      <c r="M106" s="46" t="str">
        <f>IF(L106="","",(ROUND(M105*(1+'Навигатор накоплений'!D22*(IF(YEAR(K106)=YEAR(L106-1),(L106-K106)/(DATE(YEAR(K106),12,31)-DATE(YEAR(K106),1,1)+1),(DATE(YEAR(K106)+1,1,1)-K106)/(DATE(YEAR(K106),12,31)-DATE(YEAR(K106),1,1)+1)+(L106-DATE(YEAR(L106),1,1))/(DATE(YEAR(L106),12,31)-DATE(YEAR(L106),1,1)+1)))),2)+IF(L106&lt;'Навигатор накоплений'!F22,N('Навигатор накоплений'!G22),0))+0*LEN("M106"))</f>
        <v/>
      </c>
      <c r="N106" s="45" t="str">
        <f>IF(OR(O105="",O105&gt;='Навигатор накоплений'!F23),"",(O105)+0*LEN("N106"))</f>
        <v/>
      </c>
      <c r="O106" s="45" t="str">
        <f>IF(N106="","",(MIN(EDATE(N106,1),'Навигатор накоплений'!F23))+0*LEN("O106"))</f>
        <v/>
      </c>
      <c r="P106" s="46" t="str">
        <f>IF(O106="","",(ROUND(P105*(1+'Навигатор накоплений'!D23*(IF(YEAR(N106)=YEAR(O106-1),(O106-N106)/(DATE(YEAR(N106),12,31)-DATE(YEAR(N106),1,1)+1),(DATE(YEAR(N106)+1,1,1)-N106)/(DATE(YEAR(N106),12,31)-DATE(YEAR(N106),1,1)+1)+(O106-DATE(YEAR(O106),1,1))/(DATE(YEAR(O106),12,31)-DATE(YEAR(O106),1,1)+1)))),2)+IF(O106&lt;'Навигатор накоплений'!F23,N('Навигатор накоплений'!G23),0))+0*LEN("P106"))</f>
        <v/>
      </c>
      <c r="Q106" s="45" t="str">
        <f>IF(OR(R105="",R105&gt;='Навигатор накоплений'!F24),"",(R105)+0*LEN("Q106"))</f>
        <v/>
      </c>
      <c r="R106" s="45" t="str">
        <f>IF(Q106="","",(MIN(EDATE(Q106,1),'Навигатор накоплений'!F24))+0*LEN("R106"))</f>
        <v/>
      </c>
      <c r="S106" s="46" t="str">
        <f>IF(R106="","",(ROUND(S105*(1+'Навигатор накоплений'!D24*(IF(YEAR(Q106)=YEAR(R106-1),(R106-Q106)/(DATE(YEAR(Q106),12,31)-DATE(YEAR(Q106),1,1)+1),(DATE(YEAR(Q106)+1,1,1)-Q106)/(DATE(YEAR(Q106),12,31)-DATE(YEAR(Q106),1,1)+1)+(R106-DATE(YEAR(R106),1,1))/(DATE(YEAR(R106),12,31)-DATE(YEAR(R106),1,1)+1)))),2)+IF(R106&lt;'Навигатор накоплений'!F24,N('Навигатор накоплений'!G24),0))+0*LEN("S106"))</f>
        <v/>
      </c>
      <c r="T106" s="45" t="str">
        <f>IF(OR(U105="",U105&gt;='Навигатор накоплений'!F27),"",(U105)+0*LEN("T106"))</f>
        <v/>
      </c>
      <c r="U106" s="45" t="str">
        <f>IF(T106="","",(MIN(EDATE(T106,1),'Навигатор накоплений'!F27))+0*LEN("U106"))</f>
        <v/>
      </c>
      <c r="V106" s="46" t="str">
        <f>IF(U106="","",(ROUND(V105*(1+'Навигатор накоплений'!D27*(IF(YEAR(T106)=YEAR(U106-1),(U106-T106)/(DATE(YEAR(T106),12,31)-DATE(YEAR(T106),1,1)+1),(DATE(YEAR(T106)+1,1,1)-T106)/(DATE(YEAR(T106),12,31)-DATE(YEAR(T106),1,1)+1)+(U106-DATE(YEAR(U106),1,1))/(DATE(YEAR(U106),12,31)-DATE(YEAR(U106),1,1)+1)))),2)+IF(U106&lt;'Навигатор накоплений'!F27,N('Навигатор накоплений'!G27),0))+0*LEN("V106"))</f>
        <v/>
      </c>
    </row>
    <row r="107" spans="1:22" ht="15" x14ac:dyDescent="0.2">
      <c r="A107" s="105" t="s">
        <v>58</v>
      </c>
      <c r="B107" s="105"/>
      <c r="C107" s="105"/>
      <c r="D107" s="106"/>
      <c r="E107" s="49">
        <f>SUM(E95:E106)</f>
        <v>0</v>
      </c>
      <c r="F107" s="49" t="s">
        <v>59</v>
      </c>
      <c r="G107" s="50">
        <f>SUM(G95:G106)</f>
        <v>0</v>
      </c>
      <c r="H107" s="49" t="str">
        <f>IF('Навигатор накоплений'!A36="","",SUM(H95:H106))</f>
        <v/>
      </c>
      <c r="I107" s="49" t="str">
        <f>IF('Навигатор накоплений'!A36="","",I106)</f>
        <v/>
      </c>
      <c r="K107" s="45" t="str">
        <f>IF(OR(L106="",L106&gt;='Навигатор накоплений'!F22),"",(L106)+0*LEN("K107"))</f>
        <v/>
      </c>
      <c r="L107" s="45" t="str">
        <f>IF(K107="","",(MIN(EDATE(K107,1),'Навигатор накоплений'!F22))+0*LEN("L107"))</f>
        <v/>
      </c>
      <c r="M107" s="46" t="str">
        <f>IF(L107="","",(ROUND(M106*(1+'Навигатор накоплений'!D22*(IF(YEAR(K107)=YEAR(L107-1),(L107-K107)/(DATE(YEAR(K107),12,31)-DATE(YEAR(K107),1,1)+1),(DATE(YEAR(K107)+1,1,1)-K107)/(DATE(YEAR(K107),12,31)-DATE(YEAR(K107),1,1)+1)+(L107-DATE(YEAR(L107),1,1))/(DATE(YEAR(L107),12,31)-DATE(YEAR(L107),1,1)+1)))),2)+IF(L107&lt;'Навигатор накоплений'!F22,N('Навигатор накоплений'!G22),0))+0*LEN("M107"))</f>
        <v/>
      </c>
      <c r="N107" s="45" t="str">
        <f>IF(OR(O106="",O106&gt;='Навигатор накоплений'!F23),"",(O106)+0*LEN("N107"))</f>
        <v/>
      </c>
      <c r="O107" s="45" t="str">
        <f>IF(N107="","",(MIN(EDATE(N107,1),'Навигатор накоплений'!F23))+0*LEN("O107"))</f>
        <v/>
      </c>
      <c r="P107" s="46" t="str">
        <f>IF(O107="","",(ROUND(P106*(1+'Навигатор накоплений'!D23*(IF(YEAR(N107)=YEAR(O107-1),(O107-N107)/(DATE(YEAR(N107),12,31)-DATE(YEAR(N107),1,1)+1),(DATE(YEAR(N107)+1,1,1)-N107)/(DATE(YEAR(N107),12,31)-DATE(YEAR(N107),1,1)+1)+(O107-DATE(YEAR(O107),1,1))/(DATE(YEAR(O107),12,31)-DATE(YEAR(O107),1,1)+1)))),2)+IF(O107&lt;'Навигатор накоплений'!F23,N('Навигатор накоплений'!G23),0))+0*LEN("P107"))</f>
        <v/>
      </c>
      <c r="Q107" s="45" t="str">
        <f>IF(OR(R106="",R106&gt;='Навигатор накоплений'!F24),"",(R106)+0*LEN("Q107"))</f>
        <v/>
      </c>
      <c r="R107" s="45" t="str">
        <f>IF(Q107="","",(MIN(EDATE(Q107,1),'Навигатор накоплений'!F24))+0*LEN("R107"))</f>
        <v/>
      </c>
      <c r="S107" s="46" t="str">
        <f>IF(R107="","",(ROUND(S106*(1+'Навигатор накоплений'!D24*(IF(YEAR(Q107)=YEAR(R107-1),(R107-Q107)/(DATE(YEAR(Q107),12,31)-DATE(YEAR(Q107),1,1)+1),(DATE(YEAR(Q107)+1,1,1)-Q107)/(DATE(YEAR(Q107),12,31)-DATE(YEAR(Q107),1,1)+1)+(R107-DATE(YEAR(R107),1,1))/(DATE(YEAR(R107),12,31)-DATE(YEAR(R107),1,1)+1)))),2)+IF(R107&lt;'Навигатор накоплений'!F24,N('Навигатор накоплений'!G24),0))+0*LEN("S107"))</f>
        <v/>
      </c>
      <c r="T107" s="45" t="str">
        <f>IF(OR(U106="",U106&gt;='Навигатор накоплений'!F27),"",(U106)+0*LEN("T107"))</f>
        <v/>
      </c>
      <c r="U107" s="45" t="str">
        <f>IF(T107="","",(MIN(EDATE(T107,1),'Навигатор накоплений'!F27))+0*LEN("U107"))</f>
        <v/>
      </c>
      <c r="V107" s="46" t="str">
        <f>IF(U107="","",(ROUND(V106*(1+'Навигатор накоплений'!D27*(IF(YEAR(T107)=YEAR(U107-1),(U107-T107)/(DATE(YEAR(T107),12,31)-DATE(YEAR(T107),1,1)+1),(DATE(YEAR(T107)+1,1,1)-T107)/(DATE(YEAR(T107),12,31)-DATE(YEAR(T107),1,1)+1)+(U107-DATE(YEAR(U107),1,1))/(DATE(YEAR(U107),12,31)-DATE(YEAR(U107),1,1)+1)))),2)+IF(U107&lt;'Навигатор накоплений'!F27,N('Навигатор накоплений'!G27),0))+0*LEN("V107"))</f>
        <v/>
      </c>
    </row>
    <row r="108" spans="1:22" ht="15" x14ac:dyDescent="0.2">
      <c r="K108" s="45" t="str">
        <f>IF(OR(L107="",L107&gt;='Навигатор накоплений'!F22),"",(L107)+0*LEN("K108"))</f>
        <v/>
      </c>
      <c r="L108" s="45" t="str">
        <f>IF(K108="","",(MIN(EDATE(K108,1),'Навигатор накоплений'!F22))+0*LEN("L108"))</f>
        <v/>
      </c>
      <c r="M108" s="46" t="str">
        <f>IF(L108="","",(ROUND(M107*(1+'Навигатор накоплений'!D22*(IF(YEAR(K108)=YEAR(L108-1),(L108-K108)/(DATE(YEAR(K108),12,31)-DATE(YEAR(K108),1,1)+1),(DATE(YEAR(K108)+1,1,1)-K108)/(DATE(YEAR(K108),12,31)-DATE(YEAR(K108),1,1)+1)+(L108-DATE(YEAR(L108),1,1))/(DATE(YEAR(L108),12,31)-DATE(YEAR(L108),1,1)+1)))),2)+IF(L108&lt;'Навигатор накоплений'!F22,N('Навигатор накоплений'!G22),0))+0*LEN("M108"))</f>
        <v/>
      </c>
      <c r="N108" s="45" t="str">
        <f>IF(OR(O107="",O107&gt;='Навигатор накоплений'!F23),"",(O107)+0*LEN("N108"))</f>
        <v/>
      </c>
      <c r="O108" s="45" t="str">
        <f>IF(N108="","",(MIN(EDATE(N108,1),'Навигатор накоплений'!F23))+0*LEN("O108"))</f>
        <v/>
      </c>
      <c r="P108" s="46" t="str">
        <f>IF(O108="","",(ROUND(P107*(1+'Навигатор накоплений'!D23*(IF(YEAR(N108)=YEAR(O108-1),(O108-N108)/(DATE(YEAR(N108),12,31)-DATE(YEAR(N108),1,1)+1),(DATE(YEAR(N108)+1,1,1)-N108)/(DATE(YEAR(N108),12,31)-DATE(YEAR(N108),1,1)+1)+(O108-DATE(YEAR(O108),1,1))/(DATE(YEAR(O108),12,31)-DATE(YEAR(O108),1,1)+1)))),2)+IF(O108&lt;'Навигатор накоплений'!F23,N('Навигатор накоплений'!G23),0))+0*LEN("P108"))</f>
        <v/>
      </c>
      <c r="Q108" s="45" t="str">
        <f>IF(OR(R107="",R107&gt;='Навигатор накоплений'!F24),"",(R107)+0*LEN("Q108"))</f>
        <v/>
      </c>
      <c r="R108" s="45" t="str">
        <f>IF(Q108="","",(MIN(EDATE(Q108,1),'Навигатор накоплений'!F24))+0*LEN("R108"))</f>
        <v/>
      </c>
      <c r="S108" s="46" t="str">
        <f>IF(R108="","",(ROUND(S107*(1+'Навигатор накоплений'!D24*(IF(YEAR(Q108)=YEAR(R108-1),(R108-Q108)/(DATE(YEAR(Q108),12,31)-DATE(YEAR(Q108),1,1)+1),(DATE(YEAR(Q108)+1,1,1)-Q108)/(DATE(YEAR(Q108),12,31)-DATE(YEAR(Q108),1,1)+1)+(R108-DATE(YEAR(R108),1,1))/(DATE(YEAR(R108),12,31)-DATE(YEAR(R108),1,1)+1)))),2)+IF(R108&lt;'Навигатор накоплений'!F24,N('Навигатор накоплений'!G24),0))+0*LEN("S108"))</f>
        <v/>
      </c>
      <c r="T108" s="45" t="str">
        <f>IF(OR(U107="",U107&gt;='Навигатор накоплений'!F27),"",(U107)+0*LEN("T108"))</f>
        <v/>
      </c>
      <c r="U108" s="45" t="str">
        <f>IF(T108="","",(MIN(EDATE(T108,1),'Навигатор накоплений'!F27))+0*LEN("U108"))</f>
        <v/>
      </c>
      <c r="V108" s="46" t="str">
        <f>IF(U108="","",(ROUND(V107*(1+'Навигатор накоплений'!D27*(IF(YEAR(T108)=YEAR(U108-1),(U108-T108)/(DATE(YEAR(T108),12,31)-DATE(YEAR(T108),1,1)+1),(DATE(YEAR(T108)+1,1,1)-T108)/(DATE(YEAR(T108),12,31)-DATE(YEAR(T108),1,1)+1)+(U108-DATE(YEAR(U108),1,1))/(DATE(YEAR(U108),12,31)-DATE(YEAR(U108),1,1)+1)))),2)+IF(U108&lt;'Навигатор накоплений'!F27,N('Навигатор накоплений'!G27),0))+0*LEN("V108"))</f>
        <v/>
      </c>
    </row>
    <row r="109" spans="1:22" ht="15" x14ac:dyDescent="0.2">
      <c r="K109" s="45" t="str">
        <f>IF(OR(L108="",L108&gt;='Навигатор накоплений'!F22),"",(L108)+0*LEN("K109"))</f>
        <v/>
      </c>
      <c r="L109" s="45" t="str">
        <f>IF(K109="","",(MIN(EDATE(K109,1),'Навигатор накоплений'!F22))+0*LEN("L109"))</f>
        <v/>
      </c>
      <c r="M109" s="46" t="str">
        <f>IF(L109="","",(ROUND(M108*(1+'Навигатор накоплений'!D22*(IF(YEAR(K109)=YEAR(L109-1),(L109-K109)/(DATE(YEAR(K109),12,31)-DATE(YEAR(K109),1,1)+1),(DATE(YEAR(K109)+1,1,1)-K109)/(DATE(YEAR(K109),12,31)-DATE(YEAR(K109),1,1)+1)+(L109-DATE(YEAR(L109),1,1))/(DATE(YEAR(L109),12,31)-DATE(YEAR(L109),1,1)+1)))),2)+IF(L109&lt;'Навигатор накоплений'!F22,N('Навигатор накоплений'!G22),0))+0*LEN("M109"))</f>
        <v/>
      </c>
      <c r="N109" s="45" t="str">
        <f>IF(OR(O108="",O108&gt;='Навигатор накоплений'!F23),"",(O108)+0*LEN("N109"))</f>
        <v/>
      </c>
      <c r="O109" s="45" t="str">
        <f>IF(N109="","",(MIN(EDATE(N109,1),'Навигатор накоплений'!F23))+0*LEN("O109"))</f>
        <v/>
      </c>
      <c r="P109" s="46" t="str">
        <f>IF(O109="","",(ROUND(P108*(1+'Навигатор накоплений'!D23*(IF(YEAR(N109)=YEAR(O109-1),(O109-N109)/(DATE(YEAR(N109),12,31)-DATE(YEAR(N109),1,1)+1),(DATE(YEAR(N109)+1,1,1)-N109)/(DATE(YEAR(N109),12,31)-DATE(YEAR(N109),1,1)+1)+(O109-DATE(YEAR(O109),1,1))/(DATE(YEAR(O109),12,31)-DATE(YEAR(O109),1,1)+1)))),2)+IF(O109&lt;'Навигатор накоплений'!F23,N('Навигатор накоплений'!G23),0))+0*LEN("P109"))</f>
        <v/>
      </c>
      <c r="Q109" s="45" t="str">
        <f>IF(OR(R108="",R108&gt;='Навигатор накоплений'!F24),"",(R108)+0*LEN("Q109"))</f>
        <v/>
      </c>
      <c r="R109" s="45" t="str">
        <f>IF(Q109="","",(MIN(EDATE(Q109,1),'Навигатор накоплений'!F24))+0*LEN("R109"))</f>
        <v/>
      </c>
      <c r="S109" s="46" t="str">
        <f>IF(R109="","",(ROUND(S108*(1+'Навигатор накоплений'!D24*(IF(YEAR(Q109)=YEAR(R109-1),(R109-Q109)/(DATE(YEAR(Q109),12,31)-DATE(YEAR(Q109),1,1)+1),(DATE(YEAR(Q109)+1,1,1)-Q109)/(DATE(YEAR(Q109),12,31)-DATE(YEAR(Q109),1,1)+1)+(R109-DATE(YEAR(R109),1,1))/(DATE(YEAR(R109),12,31)-DATE(YEAR(R109),1,1)+1)))),2)+IF(R109&lt;'Навигатор накоплений'!F24,N('Навигатор накоплений'!G24),0))+0*LEN("S109"))</f>
        <v/>
      </c>
      <c r="T109" s="45" t="str">
        <f>IF(OR(U108="",U108&gt;='Навигатор накоплений'!F27),"",(U108)+0*LEN("T109"))</f>
        <v/>
      </c>
      <c r="U109" s="45" t="str">
        <f>IF(T109="","",(MIN(EDATE(T109,1),'Навигатор накоплений'!F27))+0*LEN("U109"))</f>
        <v/>
      </c>
      <c r="V109" s="46" t="str">
        <f>IF(U109="","",(ROUND(V108*(1+'Навигатор накоплений'!D27*(IF(YEAR(T109)=YEAR(U109-1),(U109-T109)/(DATE(YEAR(T109),12,31)-DATE(YEAR(T109),1,1)+1),(DATE(YEAR(T109)+1,1,1)-T109)/(DATE(YEAR(T109),12,31)-DATE(YEAR(T109),1,1)+1)+(U109-DATE(YEAR(U109),1,1))/(DATE(YEAR(U109),12,31)-DATE(YEAR(U109),1,1)+1)))),2)+IF(U109&lt;'Навигатор накоплений'!F27,N('Навигатор накоплений'!G27),0))+0*LEN("V109"))</f>
        <v/>
      </c>
    </row>
    <row r="110" spans="1:22" ht="15" x14ac:dyDescent="0.2">
      <c r="A110"/>
      <c r="B110"/>
      <c r="C110"/>
      <c r="D110"/>
      <c r="E110"/>
      <c r="F110"/>
      <c r="G110"/>
      <c r="H110"/>
      <c r="I110"/>
      <c r="K110" s="45" t="str">
        <f>IF(OR(L109="",L109&gt;='Навигатор накоплений'!F22),"",(L109)+0*LEN("K110"))</f>
        <v/>
      </c>
      <c r="L110" s="45" t="str">
        <f>IF(K110="","",(MIN(EDATE(K110,1),'Навигатор накоплений'!F22))+0*LEN("L110"))</f>
        <v/>
      </c>
      <c r="M110" s="46" t="str">
        <f>IF(L110="","",(ROUND(M109*(1+'Навигатор накоплений'!D22*(IF(YEAR(K110)=YEAR(L110-1),(L110-K110)/(DATE(YEAR(K110),12,31)-DATE(YEAR(K110),1,1)+1),(DATE(YEAR(K110)+1,1,1)-K110)/(DATE(YEAR(K110),12,31)-DATE(YEAR(K110),1,1)+1)+(L110-DATE(YEAR(L110),1,1))/(DATE(YEAR(L110),12,31)-DATE(YEAR(L110),1,1)+1)))),2)+IF(L110&lt;'Навигатор накоплений'!F22,N('Навигатор накоплений'!G22),0))+0*LEN("M110"))</f>
        <v/>
      </c>
      <c r="N110" s="45" t="str">
        <f>IF(OR(O109="",O109&gt;='Навигатор накоплений'!F23),"",(O109)+0*LEN("N110"))</f>
        <v/>
      </c>
      <c r="O110" s="45" t="str">
        <f>IF(N110="","",(MIN(EDATE(N110,1),'Навигатор накоплений'!F23))+0*LEN("O110"))</f>
        <v/>
      </c>
      <c r="P110" s="46" t="str">
        <f>IF(O110="","",(ROUND(P109*(1+'Навигатор накоплений'!D23*(IF(YEAR(N110)=YEAR(O110-1),(O110-N110)/(DATE(YEAR(N110),12,31)-DATE(YEAR(N110),1,1)+1),(DATE(YEAR(N110)+1,1,1)-N110)/(DATE(YEAR(N110),12,31)-DATE(YEAR(N110),1,1)+1)+(O110-DATE(YEAR(O110),1,1))/(DATE(YEAR(O110),12,31)-DATE(YEAR(O110),1,1)+1)))),2)+IF(O110&lt;'Навигатор накоплений'!F23,N('Навигатор накоплений'!G23),0))+0*LEN("P110"))</f>
        <v/>
      </c>
      <c r="Q110" s="45" t="str">
        <f>IF(OR(R109="",R109&gt;='Навигатор накоплений'!F24),"",(R109)+0*LEN("Q110"))</f>
        <v/>
      </c>
      <c r="R110" s="45" t="str">
        <f>IF(Q110="","",(MIN(EDATE(Q110,1),'Навигатор накоплений'!F24))+0*LEN("R110"))</f>
        <v/>
      </c>
      <c r="S110" s="46" t="str">
        <f>IF(R110="","",(ROUND(S109*(1+'Навигатор накоплений'!D24*(IF(YEAR(Q110)=YEAR(R110-1),(R110-Q110)/(DATE(YEAR(Q110),12,31)-DATE(YEAR(Q110),1,1)+1),(DATE(YEAR(Q110)+1,1,1)-Q110)/(DATE(YEAR(Q110),12,31)-DATE(YEAR(Q110),1,1)+1)+(R110-DATE(YEAR(R110),1,1))/(DATE(YEAR(R110),12,31)-DATE(YEAR(R110),1,1)+1)))),2)+IF(R110&lt;'Навигатор накоплений'!F24,N('Навигатор накоплений'!G24),0))+0*LEN("S110"))</f>
        <v/>
      </c>
      <c r="T110" s="45" t="str">
        <f>IF(OR(U109="",U109&gt;='Навигатор накоплений'!F27),"",(U109)+0*LEN("T110"))</f>
        <v/>
      </c>
      <c r="U110" s="45" t="str">
        <f>IF(T110="","",(MIN(EDATE(T110,1),'Навигатор накоплений'!F27))+0*LEN("U110"))</f>
        <v/>
      </c>
      <c r="V110" s="46" t="str">
        <f>IF(U110="","",(ROUND(V109*(1+'Навигатор накоплений'!D27*(IF(YEAR(T110)=YEAR(U110-1),(U110-T110)/(DATE(YEAR(T110),12,31)-DATE(YEAR(T110),1,1)+1),(DATE(YEAR(T110)+1,1,1)-T110)/(DATE(YEAR(T110),12,31)-DATE(YEAR(T110),1,1)+1)+(U110-DATE(YEAR(U110),1,1))/(DATE(YEAR(U110),12,31)-DATE(YEAR(U110),1,1)+1)))),2)+IF(U110&lt;'Навигатор накоплений'!F27,N('Навигатор накоплений'!G27),0))+0*LEN("V110"))</f>
        <v/>
      </c>
    </row>
    <row r="111" spans="1:22" ht="15" x14ac:dyDescent="0.2">
      <c r="A111"/>
      <c r="B111"/>
      <c r="C111"/>
      <c r="D111"/>
      <c r="E111"/>
      <c r="F111"/>
      <c r="G111"/>
      <c r="H111"/>
      <c r="I111"/>
      <c r="K111" s="45" t="str">
        <f>IF(OR(L110="",L110&gt;='Навигатор накоплений'!F22),"",(L110)+0*LEN("K111"))</f>
        <v/>
      </c>
      <c r="L111" s="45" t="str">
        <f>IF(K111="","",(MIN(EDATE(K111,1),'Навигатор накоплений'!F22))+0*LEN("L111"))</f>
        <v/>
      </c>
      <c r="M111" s="46" t="str">
        <f>IF(L111="","",(ROUND(M110*(1+'Навигатор накоплений'!D22*(IF(YEAR(K111)=YEAR(L111-1),(L111-K111)/(DATE(YEAR(K111),12,31)-DATE(YEAR(K111),1,1)+1),(DATE(YEAR(K111)+1,1,1)-K111)/(DATE(YEAR(K111),12,31)-DATE(YEAR(K111),1,1)+1)+(L111-DATE(YEAR(L111),1,1))/(DATE(YEAR(L111),12,31)-DATE(YEAR(L111),1,1)+1)))),2)+IF(L111&lt;'Навигатор накоплений'!F22,N('Навигатор накоплений'!G22),0))+0*LEN("M111"))</f>
        <v/>
      </c>
      <c r="N111" s="45" t="str">
        <f>IF(OR(O110="",O110&gt;='Навигатор накоплений'!F23),"",(O110)+0*LEN("N111"))</f>
        <v/>
      </c>
      <c r="O111" s="45" t="str">
        <f>IF(N111="","",(MIN(EDATE(N111,1),'Навигатор накоплений'!F23))+0*LEN("O111"))</f>
        <v/>
      </c>
      <c r="P111" s="46" t="str">
        <f>IF(O111="","",(ROUND(P110*(1+'Навигатор накоплений'!D23*(IF(YEAR(N111)=YEAR(O111-1),(O111-N111)/(DATE(YEAR(N111),12,31)-DATE(YEAR(N111),1,1)+1),(DATE(YEAR(N111)+1,1,1)-N111)/(DATE(YEAR(N111),12,31)-DATE(YEAR(N111),1,1)+1)+(O111-DATE(YEAR(O111),1,1))/(DATE(YEAR(O111),12,31)-DATE(YEAR(O111),1,1)+1)))),2)+IF(O111&lt;'Навигатор накоплений'!F23,N('Навигатор накоплений'!G23),0))+0*LEN("P111"))</f>
        <v/>
      </c>
      <c r="Q111" s="45" t="str">
        <f>IF(OR(R110="",R110&gt;='Навигатор накоплений'!F24),"",(R110)+0*LEN("Q111"))</f>
        <v/>
      </c>
      <c r="R111" s="45" t="str">
        <f>IF(Q111="","",(MIN(EDATE(Q111,1),'Навигатор накоплений'!F24))+0*LEN("R111"))</f>
        <v/>
      </c>
      <c r="S111" s="46" t="str">
        <f>IF(R111="","",(ROUND(S110*(1+'Навигатор накоплений'!D24*(IF(YEAR(Q111)=YEAR(R111-1),(R111-Q111)/(DATE(YEAR(Q111),12,31)-DATE(YEAR(Q111),1,1)+1),(DATE(YEAR(Q111)+1,1,1)-Q111)/(DATE(YEAR(Q111),12,31)-DATE(YEAR(Q111),1,1)+1)+(R111-DATE(YEAR(R111),1,1))/(DATE(YEAR(R111),12,31)-DATE(YEAR(R111),1,1)+1)))),2)+IF(R111&lt;'Навигатор накоплений'!F24,N('Навигатор накоплений'!G24),0))+0*LEN("S111"))</f>
        <v/>
      </c>
      <c r="T111" s="45" t="str">
        <f>IF(OR(U110="",U110&gt;='Навигатор накоплений'!F27),"",(U110)+0*LEN("T111"))</f>
        <v/>
      </c>
      <c r="U111" s="45" t="str">
        <f>IF(T111="","",(MIN(EDATE(T111,1),'Навигатор накоплений'!F27))+0*LEN("U111"))</f>
        <v/>
      </c>
      <c r="V111" s="46" t="str">
        <f>IF(U111="","",(ROUND(V110*(1+'Навигатор накоплений'!D27*(IF(YEAR(T111)=YEAR(U111-1),(U111-T111)/(DATE(YEAR(T111),12,31)-DATE(YEAR(T111),1,1)+1),(DATE(YEAR(T111)+1,1,1)-T111)/(DATE(YEAR(T111),12,31)-DATE(YEAR(T111),1,1)+1)+(U111-DATE(YEAR(U111),1,1))/(DATE(YEAR(U111),12,31)-DATE(YEAR(U111),1,1)+1)))),2)+IF(U111&lt;'Навигатор накоплений'!F27,N('Навигатор накоплений'!G27),0))+0*LEN("V111"))</f>
        <v/>
      </c>
    </row>
    <row r="112" spans="1:22" ht="15" x14ac:dyDescent="0.2">
      <c r="A112"/>
      <c r="B112"/>
      <c r="C112"/>
      <c r="D112"/>
      <c r="E112"/>
      <c r="F112"/>
      <c r="G112" t="str">
        <f t="shared" ref="G112:G123" si="40">IF(B112="","",C112-B112)</f>
        <v/>
      </c>
      <c r="H112"/>
      <c r="I112" t="str">
        <f t="shared" ref="I112:I123" si="41">IF(B112="","",ROUND(D112+E112+H112,2))</f>
        <v/>
      </c>
      <c r="K112" s="45" t="str">
        <f>IF(OR(L111="",L111&gt;='Навигатор накоплений'!F22),"",(L111)+0*LEN("K112"))</f>
        <v/>
      </c>
      <c r="L112" s="45" t="str">
        <f>IF(K112="","",(MIN(EDATE(K112,1),'Навигатор накоплений'!F22))+0*LEN("L112"))</f>
        <v/>
      </c>
      <c r="M112" s="46" t="str">
        <f>IF(L112="","",(ROUND(M111*(1+'Навигатор накоплений'!D22*(IF(YEAR(K112)=YEAR(L112-1),(L112-K112)/(DATE(YEAR(K112),12,31)-DATE(YEAR(K112),1,1)+1),(DATE(YEAR(K112)+1,1,1)-K112)/(DATE(YEAR(K112),12,31)-DATE(YEAR(K112),1,1)+1)+(L112-DATE(YEAR(L112),1,1))/(DATE(YEAR(L112),12,31)-DATE(YEAR(L112),1,1)+1)))),2)+IF(L112&lt;'Навигатор накоплений'!F22,N('Навигатор накоплений'!G22),0))+0*LEN("M112"))</f>
        <v/>
      </c>
      <c r="N112" s="45" t="str">
        <f>IF(OR(O111="",O111&gt;='Навигатор накоплений'!F23),"",(O111)+0*LEN("N112"))</f>
        <v/>
      </c>
      <c r="O112" s="45" t="str">
        <f>IF(N112="","",(MIN(EDATE(N112,1),'Навигатор накоплений'!F23))+0*LEN("O112"))</f>
        <v/>
      </c>
      <c r="P112" s="46" t="str">
        <f>IF(O112="","",(ROUND(P111*(1+'Навигатор накоплений'!D23*(IF(YEAR(N112)=YEAR(O112-1),(O112-N112)/(DATE(YEAR(N112),12,31)-DATE(YEAR(N112),1,1)+1),(DATE(YEAR(N112)+1,1,1)-N112)/(DATE(YEAR(N112),12,31)-DATE(YEAR(N112),1,1)+1)+(O112-DATE(YEAR(O112),1,1))/(DATE(YEAR(O112),12,31)-DATE(YEAR(O112),1,1)+1)))),2)+IF(O112&lt;'Навигатор накоплений'!F23,N('Навигатор накоплений'!G23),0))+0*LEN("P112"))</f>
        <v/>
      </c>
      <c r="Q112" s="45" t="str">
        <f>IF(OR(R111="",R111&gt;='Навигатор накоплений'!F24),"",(R111)+0*LEN("Q112"))</f>
        <v/>
      </c>
      <c r="R112" s="45" t="str">
        <f>IF(Q112="","",(MIN(EDATE(Q112,1),'Навигатор накоплений'!F24))+0*LEN("R112"))</f>
        <v/>
      </c>
      <c r="S112" s="46" t="str">
        <f>IF(R112="","",(ROUND(S111*(1+'Навигатор накоплений'!D24*(IF(YEAR(Q112)=YEAR(R112-1),(R112-Q112)/(DATE(YEAR(Q112),12,31)-DATE(YEAR(Q112),1,1)+1),(DATE(YEAR(Q112)+1,1,1)-Q112)/(DATE(YEAR(Q112),12,31)-DATE(YEAR(Q112),1,1)+1)+(R112-DATE(YEAR(R112),1,1))/(DATE(YEAR(R112),12,31)-DATE(YEAR(R112),1,1)+1)))),2)+IF(R112&lt;'Навигатор накоплений'!F24,N('Навигатор накоплений'!G24),0))+0*LEN("S112"))</f>
        <v/>
      </c>
      <c r="T112" s="45" t="str">
        <f>IF(OR(U111="",U111&gt;='Навигатор накоплений'!F27),"",(U111)+0*LEN("T112"))</f>
        <v/>
      </c>
      <c r="U112" s="45" t="str">
        <f>IF(T112="","",(MIN(EDATE(T112,1),'Навигатор накоплений'!F27))+0*LEN("U112"))</f>
        <v/>
      </c>
      <c r="V112" s="46" t="str">
        <f>IF(U112="","",(ROUND(V111*(1+'Навигатор накоплений'!D27*(IF(YEAR(T112)=YEAR(U112-1),(U112-T112)/(DATE(YEAR(T112),12,31)-DATE(YEAR(T112),1,1)+1),(DATE(YEAR(T112)+1,1,1)-T112)/(DATE(YEAR(T112),12,31)-DATE(YEAR(T112),1,1)+1)+(U112-DATE(YEAR(U112),1,1))/(DATE(YEAR(U112),12,31)-DATE(YEAR(U112),1,1)+1)))),2)+IF(U112&lt;'Навигатор накоплений'!F27,N('Навигатор накоплений'!G27),0))+0*LEN("V112"))</f>
        <v/>
      </c>
    </row>
    <row r="113" spans="1:22" ht="15" x14ac:dyDescent="0.2">
      <c r="A113"/>
      <c r="B113"/>
      <c r="C113"/>
      <c r="D113" t="str">
        <f t="shared" ref="D113:D123" si="42">IF(B113="","",I112)</f>
        <v/>
      </c>
      <c r="E113"/>
      <c r="F113"/>
      <c r="G113" t="str">
        <f t="shared" si="40"/>
        <v/>
      </c>
      <c r="H113"/>
      <c r="I113" t="str">
        <f t="shared" si="41"/>
        <v/>
      </c>
      <c r="K113" s="45" t="str">
        <f>IF(OR(L112="",L112&gt;='Навигатор накоплений'!F22),"",(L112)+0*LEN("K113"))</f>
        <v/>
      </c>
      <c r="L113" s="45" t="str">
        <f>IF(K113="","",(MIN(EDATE(K113,1),'Навигатор накоплений'!F22))+0*LEN("L113"))</f>
        <v/>
      </c>
      <c r="M113" s="46" t="str">
        <f>IF(L113="","",(ROUND(M112*(1+'Навигатор накоплений'!D22*(IF(YEAR(K113)=YEAR(L113-1),(L113-K113)/(DATE(YEAR(K113),12,31)-DATE(YEAR(K113),1,1)+1),(DATE(YEAR(K113)+1,1,1)-K113)/(DATE(YEAR(K113),12,31)-DATE(YEAR(K113),1,1)+1)+(L113-DATE(YEAR(L113),1,1))/(DATE(YEAR(L113),12,31)-DATE(YEAR(L113),1,1)+1)))),2)+IF(L113&lt;'Навигатор накоплений'!F22,N('Навигатор накоплений'!G22),0))+0*LEN("M113"))</f>
        <v/>
      </c>
      <c r="N113" s="45" t="str">
        <f>IF(OR(O112="",O112&gt;='Навигатор накоплений'!F23),"",(O112)+0*LEN("N113"))</f>
        <v/>
      </c>
      <c r="O113" s="45" t="str">
        <f>IF(N113="","",(MIN(EDATE(N113,1),'Навигатор накоплений'!F23))+0*LEN("O113"))</f>
        <v/>
      </c>
      <c r="P113" s="46" t="str">
        <f>IF(O113="","",(ROUND(P112*(1+'Навигатор накоплений'!D23*(IF(YEAR(N113)=YEAR(O113-1),(O113-N113)/(DATE(YEAR(N113),12,31)-DATE(YEAR(N113),1,1)+1),(DATE(YEAR(N113)+1,1,1)-N113)/(DATE(YEAR(N113),12,31)-DATE(YEAR(N113),1,1)+1)+(O113-DATE(YEAR(O113),1,1))/(DATE(YEAR(O113),12,31)-DATE(YEAR(O113),1,1)+1)))),2)+IF(O113&lt;'Навигатор накоплений'!F23,N('Навигатор накоплений'!G23),0))+0*LEN("P113"))</f>
        <v/>
      </c>
      <c r="Q113" s="45" t="str">
        <f>IF(OR(R112="",R112&gt;='Навигатор накоплений'!F24),"",(R112)+0*LEN("Q113"))</f>
        <v/>
      </c>
      <c r="R113" s="45" t="str">
        <f>IF(Q113="","",(MIN(EDATE(Q113,1),'Навигатор накоплений'!F24))+0*LEN("R113"))</f>
        <v/>
      </c>
      <c r="S113" s="46" t="str">
        <f>IF(R113="","",(ROUND(S112*(1+'Навигатор накоплений'!D24*(IF(YEAR(Q113)=YEAR(R113-1),(R113-Q113)/(DATE(YEAR(Q113),12,31)-DATE(YEAR(Q113),1,1)+1),(DATE(YEAR(Q113)+1,1,1)-Q113)/(DATE(YEAR(Q113),12,31)-DATE(YEAR(Q113),1,1)+1)+(R113-DATE(YEAR(R113),1,1))/(DATE(YEAR(R113),12,31)-DATE(YEAR(R113),1,1)+1)))),2)+IF(R113&lt;'Навигатор накоплений'!F24,N('Навигатор накоплений'!G24),0))+0*LEN("S113"))</f>
        <v/>
      </c>
      <c r="T113" s="45" t="str">
        <f>IF(OR(U112="",U112&gt;='Навигатор накоплений'!F27),"",(U112)+0*LEN("T113"))</f>
        <v/>
      </c>
      <c r="U113" s="45" t="str">
        <f>IF(T113="","",(MIN(EDATE(T113,1),'Навигатор накоплений'!F27))+0*LEN("U113"))</f>
        <v/>
      </c>
      <c r="V113" s="46" t="str">
        <f>IF(U113="","",(ROUND(V112*(1+'Навигатор накоплений'!D27*(IF(YEAR(T113)=YEAR(U113-1),(U113-T113)/(DATE(YEAR(T113),12,31)-DATE(YEAR(T113),1,1)+1),(DATE(YEAR(T113)+1,1,1)-T113)/(DATE(YEAR(T113),12,31)-DATE(YEAR(T113),1,1)+1)+(U113-DATE(YEAR(U113),1,1))/(DATE(YEAR(U113),12,31)-DATE(YEAR(U113),1,1)+1)))),2)+IF(U113&lt;'Навигатор накоплений'!F27,N('Навигатор накоплений'!G27),0))+0*LEN("V113"))</f>
        <v/>
      </c>
    </row>
    <row r="114" spans="1:22" ht="15" x14ac:dyDescent="0.2">
      <c r="A114"/>
      <c r="B114"/>
      <c r="C114"/>
      <c r="D114" t="str">
        <f t="shared" si="42"/>
        <v/>
      </c>
      <c r="E114"/>
      <c r="F114"/>
      <c r="G114" t="str">
        <f t="shared" si="40"/>
        <v/>
      </c>
      <c r="H114"/>
      <c r="I114" t="str">
        <f t="shared" si="41"/>
        <v/>
      </c>
      <c r="K114" s="45" t="str">
        <f>IF(OR(L113="",L113&gt;='Навигатор накоплений'!F22),"",(L113)+0*LEN("K114"))</f>
        <v/>
      </c>
      <c r="L114" s="45" t="str">
        <f>IF(K114="","",(MIN(EDATE(K114,1),'Навигатор накоплений'!F22))+0*LEN("L114"))</f>
        <v/>
      </c>
      <c r="M114" s="46" t="str">
        <f>IF(L114="","",(ROUND(M113*(1+'Навигатор накоплений'!D22*(IF(YEAR(K114)=YEAR(L114-1),(L114-K114)/(DATE(YEAR(K114),12,31)-DATE(YEAR(K114),1,1)+1),(DATE(YEAR(K114)+1,1,1)-K114)/(DATE(YEAR(K114),12,31)-DATE(YEAR(K114),1,1)+1)+(L114-DATE(YEAR(L114),1,1))/(DATE(YEAR(L114),12,31)-DATE(YEAR(L114),1,1)+1)))),2)+IF(L114&lt;'Навигатор накоплений'!F22,N('Навигатор накоплений'!G22),0))+0*LEN("M114"))</f>
        <v/>
      </c>
      <c r="N114" s="45" t="str">
        <f>IF(OR(O113="",O113&gt;='Навигатор накоплений'!F23),"",(O113)+0*LEN("N114"))</f>
        <v/>
      </c>
      <c r="O114" s="45" t="str">
        <f>IF(N114="","",(MIN(EDATE(N114,1),'Навигатор накоплений'!F23))+0*LEN("O114"))</f>
        <v/>
      </c>
      <c r="P114" s="46" t="str">
        <f>IF(O114="","",(ROUND(P113*(1+'Навигатор накоплений'!D23*(IF(YEAR(N114)=YEAR(O114-1),(O114-N114)/(DATE(YEAR(N114),12,31)-DATE(YEAR(N114),1,1)+1),(DATE(YEAR(N114)+1,1,1)-N114)/(DATE(YEAR(N114),12,31)-DATE(YEAR(N114),1,1)+1)+(O114-DATE(YEAR(O114),1,1))/(DATE(YEAR(O114),12,31)-DATE(YEAR(O114),1,1)+1)))),2)+IF(O114&lt;'Навигатор накоплений'!F23,N('Навигатор накоплений'!G23),0))+0*LEN("P114"))</f>
        <v/>
      </c>
      <c r="Q114" s="45" t="str">
        <f>IF(OR(R113="",R113&gt;='Навигатор накоплений'!F24),"",(R113)+0*LEN("Q114"))</f>
        <v/>
      </c>
      <c r="R114" s="45" t="str">
        <f>IF(Q114="","",(MIN(EDATE(Q114,1),'Навигатор накоплений'!F24))+0*LEN("R114"))</f>
        <v/>
      </c>
      <c r="S114" s="46" t="str">
        <f>IF(R114="","",(ROUND(S113*(1+'Навигатор накоплений'!D24*(IF(YEAR(Q114)=YEAR(R114-1),(R114-Q114)/(DATE(YEAR(Q114),12,31)-DATE(YEAR(Q114),1,1)+1),(DATE(YEAR(Q114)+1,1,1)-Q114)/(DATE(YEAR(Q114),12,31)-DATE(YEAR(Q114),1,1)+1)+(R114-DATE(YEAR(R114),1,1))/(DATE(YEAR(R114),12,31)-DATE(YEAR(R114),1,1)+1)))),2)+IF(R114&lt;'Навигатор накоплений'!F24,N('Навигатор накоплений'!G24),0))+0*LEN("S114"))</f>
        <v/>
      </c>
      <c r="T114" s="45" t="str">
        <f>IF(OR(U113="",U113&gt;='Навигатор накоплений'!F27),"",(U113)+0*LEN("T114"))</f>
        <v/>
      </c>
      <c r="U114" s="45" t="str">
        <f>IF(T114="","",(MIN(EDATE(T114,1),'Навигатор накоплений'!F27))+0*LEN("U114"))</f>
        <v/>
      </c>
      <c r="V114" s="46" t="str">
        <f>IF(U114="","",(ROUND(V113*(1+'Навигатор накоплений'!D27*(IF(YEAR(T114)=YEAR(U114-1),(U114-T114)/(DATE(YEAR(T114),12,31)-DATE(YEAR(T114),1,1)+1),(DATE(YEAR(T114)+1,1,1)-T114)/(DATE(YEAR(T114),12,31)-DATE(YEAR(T114),1,1)+1)+(U114-DATE(YEAR(U114),1,1))/(DATE(YEAR(U114),12,31)-DATE(YEAR(U114),1,1)+1)))),2)+IF(U114&lt;'Навигатор накоплений'!F27,N('Навигатор накоплений'!G27),0))+0*LEN("V114"))</f>
        <v/>
      </c>
    </row>
    <row r="115" spans="1:22" ht="15" x14ac:dyDescent="0.2">
      <c r="A115"/>
      <c r="B115"/>
      <c r="C115"/>
      <c r="D115" t="str">
        <f t="shared" si="42"/>
        <v/>
      </c>
      <c r="E115"/>
      <c r="F115"/>
      <c r="G115" t="str">
        <f t="shared" si="40"/>
        <v/>
      </c>
      <c r="H115"/>
      <c r="I115" t="str">
        <f t="shared" si="41"/>
        <v/>
      </c>
      <c r="K115" s="45" t="str">
        <f>IF(OR(L114="",L114&gt;='Навигатор накоплений'!F22),"",(L114)+0*LEN("K115"))</f>
        <v/>
      </c>
      <c r="L115" s="45" t="str">
        <f>IF(K115="","",(MIN(EDATE(K115,1),'Навигатор накоплений'!F22))+0*LEN("L115"))</f>
        <v/>
      </c>
      <c r="M115" s="46" t="str">
        <f>IF(L115="","",(ROUND(M114*(1+'Навигатор накоплений'!D22*(IF(YEAR(K115)=YEAR(L115-1),(L115-K115)/(DATE(YEAR(K115),12,31)-DATE(YEAR(K115),1,1)+1),(DATE(YEAR(K115)+1,1,1)-K115)/(DATE(YEAR(K115),12,31)-DATE(YEAR(K115),1,1)+1)+(L115-DATE(YEAR(L115),1,1))/(DATE(YEAR(L115),12,31)-DATE(YEAR(L115),1,1)+1)))),2)+IF(L115&lt;'Навигатор накоплений'!F22,N('Навигатор накоплений'!G22),0))+0*LEN("M115"))</f>
        <v/>
      </c>
      <c r="N115" s="45" t="str">
        <f>IF(OR(O114="",O114&gt;='Навигатор накоплений'!F23),"",(O114)+0*LEN("N115"))</f>
        <v/>
      </c>
      <c r="O115" s="45" t="str">
        <f>IF(N115="","",(MIN(EDATE(N115,1),'Навигатор накоплений'!F23))+0*LEN("O115"))</f>
        <v/>
      </c>
      <c r="P115" s="46" t="str">
        <f>IF(O115="","",(ROUND(P114*(1+'Навигатор накоплений'!D23*(IF(YEAR(N115)=YEAR(O115-1),(O115-N115)/(DATE(YEAR(N115),12,31)-DATE(YEAR(N115),1,1)+1),(DATE(YEAR(N115)+1,1,1)-N115)/(DATE(YEAR(N115),12,31)-DATE(YEAR(N115),1,1)+1)+(O115-DATE(YEAR(O115),1,1))/(DATE(YEAR(O115),12,31)-DATE(YEAR(O115),1,1)+1)))),2)+IF(O115&lt;'Навигатор накоплений'!F23,N('Навигатор накоплений'!G23),0))+0*LEN("P115"))</f>
        <v/>
      </c>
      <c r="Q115" s="45" t="str">
        <f>IF(OR(R114="",R114&gt;='Навигатор накоплений'!F24),"",(R114)+0*LEN("Q115"))</f>
        <v/>
      </c>
      <c r="R115" s="45" t="str">
        <f>IF(Q115="","",(MIN(EDATE(Q115,1),'Навигатор накоплений'!F24))+0*LEN("R115"))</f>
        <v/>
      </c>
      <c r="S115" s="46" t="str">
        <f>IF(R115="","",(ROUND(S114*(1+'Навигатор накоплений'!D24*(IF(YEAR(Q115)=YEAR(R115-1),(R115-Q115)/(DATE(YEAR(Q115),12,31)-DATE(YEAR(Q115),1,1)+1),(DATE(YEAR(Q115)+1,1,1)-Q115)/(DATE(YEAR(Q115),12,31)-DATE(YEAR(Q115),1,1)+1)+(R115-DATE(YEAR(R115),1,1))/(DATE(YEAR(R115),12,31)-DATE(YEAR(R115),1,1)+1)))),2)+IF(R115&lt;'Навигатор накоплений'!F24,N('Навигатор накоплений'!G24),0))+0*LEN("S115"))</f>
        <v/>
      </c>
      <c r="T115" s="45" t="str">
        <f>IF(OR(U114="",U114&gt;='Навигатор накоплений'!F27),"",(U114)+0*LEN("T115"))</f>
        <v/>
      </c>
      <c r="U115" s="45" t="str">
        <f>IF(T115="","",(MIN(EDATE(T115,1),'Навигатор накоплений'!F27))+0*LEN("U115"))</f>
        <v/>
      </c>
      <c r="V115" s="46" t="str">
        <f>IF(U115="","",(ROUND(V114*(1+'Навигатор накоплений'!D27*(IF(YEAR(T115)=YEAR(U115-1),(U115-T115)/(DATE(YEAR(T115),12,31)-DATE(YEAR(T115),1,1)+1),(DATE(YEAR(T115)+1,1,1)-T115)/(DATE(YEAR(T115),12,31)-DATE(YEAR(T115),1,1)+1)+(U115-DATE(YEAR(U115),1,1))/(DATE(YEAR(U115),12,31)-DATE(YEAR(U115),1,1)+1)))),2)+IF(U115&lt;'Навигатор накоплений'!F27,N('Навигатор накоплений'!G27),0))+0*LEN("V115"))</f>
        <v/>
      </c>
    </row>
    <row r="116" spans="1:22" ht="15" x14ac:dyDescent="0.2">
      <c r="A116"/>
      <c r="B116"/>
      <c r="C116"/>
      <c r="D116" t="str">
        <f t="shared" si="42"/>
        <v/>
      </c>
      <c r="E116"/>
      <c r="F116"/>
      <c r="G116" t="str">
        <f t="shared" si="40"/>
        <v/>
      </c>
      <c r="H116"/>
      <c r="I116" t="str">
        <f t="shared" si="41"/>
        <v/>
      </c>
      <c r="K116" s="45" t="str">
        <f>IF(OR(L115="",L115&gt;='Навигатор накоплений'!F22),"",(L115)+0*LEN("K116"))</f>
        <v/>
      </c>
      <c r="L116" s="45" t="str">
        <f>IF(K116="","",(MIN(EDATE(K116,1),'Навигатор накоплений'!F22))+0*LEN("L116"))</f>
        <v/>
      </c>
      <c r="M116" s="46" t="str">
        <f>IF(L116="","",(ROUND(M115*(1+'Навигатор накоплений'!D22*(IF(YEAR(K116)=YEAR(L116-1),(L116-K116)/(DATE(YEAR(K116),12,31)-DATE(YEAR(K116),1,1)+1),(DATE(YEAR(K116)+1,1,1)-K116)/(DATE(YEAR(K116),12,31)-DATE(YEAR(K116),1,1)+1)+(L116-DATE(YEAR(L116),1,1))/(DATE(YEAR(L116),12,31)-DATE(YEAR(L116),1,1)+1)))),2)+IF(L116&lt;'Навигатор накоплений'!F22,N('Навигатор накоплений'!G22),0))+0*LEN("M116"))</f>
        <v/>
      </c>
      <c r="N116" s="45" t="str">
        <f>IF(OR(O115="",O115&gt;='Навигатор накоплений'!F23),"",(O115)+0*LEN("N116"))</f>
        <v/>
      </c>
      <c r="O116" s="45" t="str">
        <f>IF(N116="","",(MIN(EDATE(N116,1),'Навигатор накоплений'!F23))+0*LEN("O116"))</f>
        <v/>
      </c>
      <c r="P116" s="46" t="str">
        <f>IF(O116="","",(ROUND(P115*(1+'Навигатор накоплений'!D23*(IF(YEAR(N116)=YEAR(O116-1),(O116-N116)/(DATE(YEAR(N116),12,31)-DATE(YEAR(N116),1,1)+1),(DATE(YEAR(N116)+1,1,1)-N116)/(DATE(YEAR(N116),12,31)-DATE(YEAR(N116),1,1)+1)+(O116-DATE(YEAR(O116),1,1))/(DATE(YEAR(O116),12,31)-DATE(YEAR(O116),1,1)+1)))),2)+IF(O116&lt;'Навигатор накоплений'!F23,N('Навигатор накоплений'!G23),0))+0*LEN("P116"))</f>
        <v/>
      </c>
      <c r="Q116" s="45" t="str">
        <f>IF(OR(R115="",R115&gt;='Навигатор накоплений'!F24),"",(R115)+0*LEN("Q116"))</f>
        <v/>
      </c>
      <c r="R116" s="45" t="str">
        <f>IF(Q116="","",(MIN(EDATE(Q116,1),'Навигатор накоплений'!F24))+0*LEN("R116"))</f>
        <v/>
      </c>
      <c r="S116" s="46" t="str">
        <f>IF(R116="","",(ROUND(S115*(1+'Навигатор накоплений'!D24*(IF(YEAR(Q116)=YEAR(R116-1),(R116-Q116)/(DATE(YEAR(Q116),12,31)-DATE(YEAR(Q116),1,1)+1),(DATE(YEAR(Q116)+1,1,1)-Q116)/(DATE(YEAR(Q116),12,31)-DATE(YEAR(Q116),1,1)+1)+(R116-DATE(YEAR(R116),1,1))/(DATE(YEAR(R116),12,31)-DATE(YEAR(R116),1,1)+1)))),2)+IF(R116&lt;'Навигатор накоплений'!F24,N('Навигатор накоплений'!G24),0))+0*LEN("S116"))</f>
        <v/>
      </c>
      <c r="T116" s="45" t="str">
        <f>IF(OR(U115="",U115&gt;='Навигатор накоплений'!F27),"",(U115)+0*LEN("T116"))</f>
        <v/>
      </c>
      <c r="U116" s="45" t="str">
        <f>IF(T116="","",(MIN(EDATE(T116,1),'Навигатор накоплений'!F27))+0*LEN("U116"))</f>
        <v/>
      </c>
      <c r="V116" s="46" t="str">
        <f>IF(U116="","",(ROUND(V115*(1+'Навигатор накоплений'!D27*(IF(YEAR(T116)=YEAR(U116-1),(U116-T116)/(DATE(YEAR(T116),12,31)-DATE(YEAR(T116),1,1)+1),(DATE(YEAR(T116)+1,1,1)-T116)/(DATE(YEAR(T116),12,31)-DATE(YEAR(T116),1,1)+1)+(U116-DATE(YEAR(U116),1,1))/(DATE(YEAR(U116),12,31)-DATE(YEAR(U116),1,1)+1)))),2)+IF(U116&lt;'Навигатор накоплений'!F27,N('Навигатор накоплений'!G27),0))+0*LEN("V116"))</f>
        <v/>
      </c>
    </row>
    <row r="117" spans="1:22" ht="15" x14ac:dyDescent="0.2">
      <c r="A117"/>
      <c r="B117"/>
      <c r="C117"/>
      <c r="D117" t="str">
        <f t="shared" si="42"/>
        <v/>
      </c>
      <c r="E117"/>
      <c r="F117"/>
      <c r="G117" t="str">
        <f t="shared" si="40"/>
        <v/>
      </c>
      <c r="H117"/>
      <c r="I117" t="str">
        <f t="shared" si="41"/>
        <v/>
      </c>
      <c r="K117" s="45" t="str">
        <f>IF(OR(L116="",L116&gt;='Навигатор накоплений'!F22),"",(L116)+0*LEN("K117"))</f>
        <v/>
      </c>
      <c r="L117" s="45" t="str">
        <f>IF(K117="","",(MIN(EDATE(K117,1),'Навигатор накоплений'!F22))+0*LEN("L117"))</f>
        <v/>
      </c>
      <c r="M117" s="46" t="str">
        <f>IF(L117="","",(ROUND(M116*(1+'Навигатор накоплений'!D22*(IF(YEAR(K117)=YEAR(L117-1),(L117-K117)/(DATE(YEAR(K117),12,31)-DATE(YEAR(K117),1,1)+1),(DATE(YEAR(K117)+1,1,1)-K117)/(DATE(YEAR(K117),12,31)-DATE(YEAR(K117),1,1)+1)+(L117-DATE(YEAR(L117),1,1))/(DATE(YEAR(L117),12,31)-DATE(YEAR(L117),1,1)+1)))),2)+IF(L117&lt;'Навигатор накоплений'!F22,N('Навигатор накоплений'!G22),0))+0*LEN("M117"))</f>
        <v/>
      </c>
      <c r="N117" s="45" t="str">
        <f>IF(OR(O116="",O116&gt;='Навигатор накоплений'!F23),"",(O116)+0*LEN("N117"))</f>
        <v/>
      </c>
      <c r="O117" s="45" t="str">
        <f>IF(N117="","",(MIN(EDATE(N117,1),'Навигатор накоплений'!F23))+0*LEN("O117"))</f>
        <v/>
      </c>
      <c r="P117" s="46" t="str">
        <f>IF(O117="","",(ROUND(P116*(1+'Навигатор накоплений'!D23*(IF(YEAR(N117)=YEAR(O117-1),(O117-N117)/(DATE(YEAR(N117),12,31)-DATE(YEAR(N117),1,1)+1),(DATE(YEAR(N117)+1,1,1)-N117)/(DATE(YEAR(N117),12,31)-DATE(YEAR(N117),1,1)+1)+(O117-DATE(YEAR(O117),1,1))/(DATE(YEAR(O117),12,31)-DATE(YEAR(O117),1,1)+1)))),2)+IF(O117&lt;'Навигатор накоплений'!F23,N('Навигатор накоплений'!G23),0))+0*LEN("P117"))</f>
        <v/>
      </c>
      <c r="Q117" s="45" t="str">
        <f>IF(OR(R116="",R116&gt;='Навигатор накоплений'!F24),"",(R116)+0*LEN("Q117"))</f>
        <v/>
      </c>
      <c r="R117" s="45" t="str">
        <f>IF(Q117="","",(MIN(EDATE(Q117,1),'Навигатор накоплений'!F24))+0*LEN("R117"))</f>
        <v/>
      </c>
      <c r="S117" s="46" t="str">
        <f>IF(R117="","",(ROUND(S116*(1+'Навигатор накоплений'!D24*(IF(YEAR(Q117)=YEAR(R117-1),(R117-Q117)/(DATE(YEAR(Q117),12,31)-DATE(YEAR(Q117),1,1)+1),(DATE(YEAR(Q117)+1,1,1)-Q117)/(DATE(YEAR(Q117),12,31)-DATE(YEAR(Q117),1,1)+1)+(R117-DATE(YEAR(R117),1,1))/(DATE(YEAR(R117),12,31)-DATE(YEAR(R117),1,1)+1)))),2)+IF(R117&lt;'Навигатор накоплений'!F24,N('Навигатор накоплений'!G24),0))+0*LEN("S117"))</f>
        <v/>
      </c>
      <c r="T117" s="45" t="str">
        <f>IF(OR(U116="",U116&gt;='Навигатор накоплений'!F27),"",(U116)+0*LEN("T117"))</f>
        <v/>
      </c>
      <c r="U117" s="45" t="str">
        <f>IF(T117="","",(MIN(EDATE(T117,1),'Навигатор накоплений'!F27))+0*LEN("U117"))</f>
        <v/>
      </c>
      <c r="V117" s="46" t="str">
        <f>IF(U117="","",(ROUND(V116*(1+'Навигатор накоплений'!D27*(IF(YEAR(T117)=YEAR(U117-1),(U117-T117)/(DATE(YEAR(T117),12,31)-DATE(YEAR(T117),1,1)+1),(DATE(YEAR(T117)+1,1,1)-T117)/(DATE(YEAR(T117),12,31)-DATE(YEAR(T117),1,1)+1)+(U117-DATE(YEAR(U117),1,1))/(DATE(YEAR(U117),12,31)-DATE(YEAR(U117),1,1)+1)))),2)+IF(U117&lt;'Навигатор накоплений'!F27,N('Навигатор накоплений'!G27),0))+0*LEN("V117"))</f>
        <v/>
      </c>
    </row>
    <row r="118" spans="1:22" ht="15" x14ac:dyDescent="0.2">
      <c r="A118"/>
      <c r="B118"/>
      <c r="C118"/>
      <c r="D118" t="str">
        <f t="shared" si="42"/>
        <v/>
      </c>
      <c r="E118"/>
      <c r="F118"/>
      <c r="G118" t="str">
        <f t="shared" si="40"/>
        <v/>
      </c>
      <c r="H118"/>
      <c r="I118" t="str">
        <f t="shared" si="41"/>
        <v/>
      </c>
      <c r="K118" s="45" t="str">
        <f>IF(OR(L117="",L117&gt;='Навигатор накоплений'!F22),"",(L117)+0*LEN("K118"))</f>
        <v/>
      </c>
      <c r="L118" s="45" t="str">
        <f>IF(K118="","",(MIN(EDATE(K118,1),'Навигатор накоплений'!F22))+0*LEN("L118"))</f>
        <v/>
      </c>
      <c r="M118" s="46" t="str">
        <f>IF(L118="","",(ROUND(M117*(1+'Навигатор накоплений'!D22*(IF(YEAR(K118)=YEAR(L118-1),(L118-K118)/(DATE(YEAR(K118),12,31)-DATE(YEAR(K118),1,1)+1),(DATE(YEAR(K118)+1,1,1)-K118)/(DATE(YEAR(K118),12,31)-DATE(YEAR(K118),1,1)+1)+(L118-DATE(YEAR(L118),1,1))/(DATE(YEAR(L118),12,31)-DATE(YEAR(L118),1,1)+1)))),2)+IF(L118&lt;'Навигатор накоплений'!F22,N('Навигатор накоплений'!G22),0))+0*LEN("M118"))</f>
        <v/>
      </c>
      <c r="N118" s="45" t="str">
        <f>IF(OR(O117="",O117&gt;='Навигатор накоплений'!F23),"",(O117)+0*LEN("N118"))</f>
        <v/>
      </c>
      <c r="O118" s="45" t="str">
        <f>IF(N118="","",(MIN(EDATE(N118,1),'Навигатор накоплений'!F23))+0*LEN("O118"))</f>
        <v/>
      </c>
      <c r="P118" s="46" t="str">
        <f>IF(O118="","",(ROUND(P117*(1+'Навигатор накоплений'!D23*(IF(YEAR(N118)=YEAR(O118-1),(O118-N118)/(DATE(YEAR(N118),12,31)-DATE(YEAR(N118),1,1)+1),(DATE(YEAR(N118)+1,1,1)-N118)/(DATE(YEAR(N118),12,31)-DATE(YEAR(N118),1,1)+1)+(O118-DATE(YEAR(O118),1,1))/(DATE(YEAR(O118),12,31)-DATE(YEAR(O118),1,1)+1)))),2)+IF(O118&lt;'Навигатор накоплений'!F23,N('Навигатор накоплений'!G23),0))+0*LEN("P118"))</f>
        <v/>
      </c>
      <c r="Q118" s="45" t="str">
        <f>IF(OR(R117="",R117&gt;='Навигатор накоплений'!F24),"",(R117)+0*LEN("Q118"))</f>
        <v/>
      </c>
      <c r="R118" s="45" t="str">
        <f>IF(Q118="","",(MIN(EDATE(Q118,1),'Навигатор накоплений'!F24))+0*LEN("R118"))</f>
        <v/>
      </c>
      <c r="S118" s="46" t="str">
        <f>IF(R118="","",(ROUND(S117*(1+'Навигатор накоплений'!D24*(IF(YEAR(Q118)=YEAR(R118-1),(R118-Q118)/(DATE(YEAR(Q118),12,31)-DATE(YEAR(Q118),1,1)+1),(DATE(YEAR(Q118)+1,1,1)-Q118)/(DATE(YEAR(Q118),12,31)-DATE(YEAR(Q118),1,1)+1)+(R118-DATE(YEAR(R118),1,1))/(DATE(YEAR(R118),12,31)-DATE(YEAR(R118),1,1)+1)))),2)+IF(R118&lt;'Навигатор накоплений'!F24,N('Навигатор накоплений'!G24),0))+0*LEN("S118"))</f>
        <v/>
      </c>
      <c r="T118" s="45" t="str">
        <f>IF(OR(U117="",U117&gt;='Навигатор накоплений'!F27),"",(U117)+0*LEN("T118"))</f>
        <v/>
      </c>
      <c r="U118" s="45" t="str">
        <f>IF(T118="","",(MIN(EDATE(T118,1),'Навигатор накоплений'!F27))+0*LEN("U118"))</f>
        <v/>
      </c>
      <c r="V118" s="46" t="str">
        <f>IF(U118="","",(ROUND(V117*(1+'Навигатор накоплений'!D27*(IF(YEAR(T118)=YEAR(U118-1),(U118-T118)/(DATE(YEAR(T118),12,31)-DATE(YEAR(T118),1,1)+1),(DATE(YEAR(T118)+1,1,1)-T118)/(DATE(YEAR(T118),12,31)-DATE(YEAR(T118),1,1)+1)+(U118-DATE(YEAR(U118),1,1))/(DATE(YEAR(U118),12,31)-DATE(YEAR(U118),1,1)+1)))),2)+IF(U118&lt;'Навигатор накоплений'!F27,N('Навигатор накоплений'!G27),0))+0*LEN("V118"))</f>
        <v/>
      </c>
    </row>
    <row r="119" spans="1:22" ht="15" x14ac:dyDescent="0.2">
      <c r="A119"/>
      <c r="B119"/>
      <c r="C119"/>
      <c r="D119" t="str">
        <f t="shared" si="42"/>
        <v/>
      </c>
      <c r="E119"/>
      <c r="F119"/>
      <c r="G119" t="str">
        <f t="shared" si="40"/>
        <v/>
      </c>
      <c r="H119"/>
      <c r="I119" t="str">
        <f t="shared" si="41"/>
        <v/>
      </c>
      <c r="K119" s="45" t="str">
        <f>IF(OR(L118="",L118&gt;='Навигатор накоплений'!F22),"",(L118)+0*LEN("K119"))</f>
        <v/>
      </c>
      <c r="L119" s="45" t="str">
        <f>IF(K119="","",(MIN(EDATE(K119,1),'Навигатор накоплений'!F22))+0*LEN("L119"))</f>
        <v/>
      </c>
      <c r="M119" s="46" t="str">
        <f>IF(L119="","",(ROUND(M118*(1+'Навигатор накоплений'!D22*(IF(YEAR(K119)=YEAR(L119-1),(L119-K119)/(DATE(YEAR(K119),12,31)-DATE(YEAR(K119),1,1)+1),(DATE(YEAR(K119)+1,1,1)-K119)/(DATE(YEAR(K119),12,31)-DATE(YEAR(K119),1,1)+1)+(L119-DATE(YEAR(L119),1,1))/(DATE(YEAR(L119),12,31)-DATE(YEAR(L119),1,1)+1)))),2)+IF(L119&lt;'Навигатор накоплений'!F22,N('Навигатор накоплений'!G22),0))+0*LEN("M119"))</f>
        <v/>
      </c>
      <c r="N119" s="45" t="str">
        <f>IF(OR(O118="",O118&gt;='Навигатор накоплений'!F23),"",(O118)+0*LEN("N119"))</f>
        <v/>
      </c>
      <c r="O119" s="45" t="str">
        <f>IF(N119="","",(MIN(EDATE(N119,1),'Навигатор накоплений'!F23))+0*LEN("O119"))</f>
        <v/>
      </c>
      <c r="P119" s="46" t="str">
        <f>IF(O119="","",(ROUND(P118*(1+'Навигатор накоплений'!D23*(IF(YEAR(N119)=YEAR(O119-1),(O119-N119)/(DATE(YEAR(N119),12,31)-DATE(YEAR(N119),1,1)+1),(DATE(YEAR(N119)+1,1,1)-N119)/(DATE(YEAR(N119),12,31)-DATE(YEAR(N119),1,1)+1)+(O119-DATE(YEAR(O119),1,1))/(DATE(YEAR(O119),12,31)-DATE(YEAR(O119),1,1)+1)))),2)+IF(O119&lt;'Навигатор накоплений'!F23,N('Навигатор накоплений'!G23),0))+0*LEN("P119"))</f>
        <v/>
      </c>
      <c r="Q119" s="45" t="str">
        <f>IF(OR(R118="",R118&gt;='Навигатор накоплений'!F24),"",(R118)+0*LEN("Q119"))</f>
        <v/>
      </c>
      <c r="R119" s="45" t="str">
        <f>IF(Q119="","",(MIN(EDATE(Q119,1),'Навигатор накоплений'!F24))+0*LEN("R119"))</f>
        <v/>
      </c>
      <c r="S119" s="46" t="str">
        <f>IF(R119="","",(ROUND(S118*(1+'Навигатор накоплений'!D24*(IF(YEAR(Q119)=YEAR(R119-1),(R119-Q119)/(DATE(YEAR(Q119),12,31)-DATE(YEAR(Q119),1,1)+1),(DATE(YEAR(Q119)+1,1,1)-Q119)/(DATE(YEAR(Q119),12,31)-DATE(YEAR(Q119),1,1)+1)+(R119-DATE(YEAR(R119),1,1))/(DATE(YEAR(R119),12,31)-DATE(YEAR(R119),1,1)+1)))),2)+IF(R119&lt;'Навигатор накоплений'!F24,N('Навигатор накоплений'!G24),0))+0*LEN("S119"))</f>
        <v/>
      </c>
      <c r="T119" s="45" t="str">
        <f>IF(OR(U118="",U118&gt;='Навигатор накоплений'!F27),"",(U118)+0*LEN("T119"))</f>
        <v/>
      </c>
      <c r="U119" s="45" t="str">
        <f>IF(T119="","",(MIN(EDATE(T119,1),'Навигатор накоплений'!F27))+0*LEN("U119"))</f>
        <v/>
      </c>
      <c r="V119" s="46" t="str">
        <f>IF(U119="","",(ROUND(V118*(1+'Навигатор накоплений'!D27*(IF(YEAR(T119)=YEAR(U119-1),(U119-T119)/(DATE(YEAR(T119),12,31)-DATE(YEAR(T119),1,1)+1),(DATE(YEAR(T119)+1,1,1)-T119)/(DATE(YEAR(T119),12,31)-DATE(YEAR(T119),1,1)+1)+(U119-DATE(YEAR(U119),1,1))/(DATE(YEAR(U119),12,31)-DATE(YEAR(U119),1,1)+1)))),2)+IF(U119&lt;'Навигатор накоплений'!F27,N('Навигатор накоплений'!G27),0))+0*LEN("V119"))</f>
        <v/>
      </c>
    </row>
    <row r="120" spans="1:22" ht="15" x14ac:dyDescent="0.2">
      <c r="A120"/>
      <c r="B120"/>
      <c r="C120"/>
      <c r="D120" t="str">
        <f t="shared" si="42"/>
        <v/>
      </c>
      <c r="E120"/>
      <c r="F120"/>
      <c r="G120" t="str">
        <f t="shared" si="40"/>
        <v/>
      </c>
      <c r="H120"/>
      <c r="I120" t="str">
        <f t="shared" si="41"/>
        <v/>
      </c>
      <c r="K120" s="45" t="str">
        <f>IF(OR(L119="",L119&gt;='Навигатор накоплений'!F22),"",(L119)+0*LEN("K120"))</f>
        <v/>
      </c>
      <c r="L120" s="45" t="str">
        <f>IF(K120="","",(MIN(EDATE(K120,1),'Навигатор накоплений'!F22))+0*LEN("L120"))</f>
        <v/>
      </c>
      <c r="M120" s="46" t="str">
        <f>IF(L120="","",(ROUND(M119*(1+'Навигатор накоплений'!D22*(IF(YEAR(K120)=YEAR(L120-1),(L120-K120)/(DATE(YEAR(K120),12,31)-DATE(YEAR(K120),1,1)+1),(DATE(YEAR(K120)+1,1,1)-K120)/(DATE(YEAR(K120),12,31)-DATE(YEAR(K120),1,1)+1)+(L120-DATE(YEAR(L120),1,1))/(DATE(YEAR(L120),12,31)-DATE(YEAR(L120),1,1)+1)))),2)+IF(L120&lt;'Навигатор накоплений'!F22,N('Навигатор накоплений'!G22),0))+0*LEN("M120"))</f>
        <v/>
      </c>
      <c r="N120" s="45" t="str">
        <f>IF(OR(O119="",O119&gt;='Навигатор накоплений'!F23),"",(O119)+0*LEN("N120"))</f>
        <v/>
      </c>
      <c r="O120" s="45" t="str">
        <f>IF(N120="","",(MIN(EDATE(N120,1),'Навигатор накоплений'!F23))+0*LEN("O120"))</f>
        <v/>
      </c>
      <c r="P120" s="46" t="str">
        <f>IF(O120="","",(ROUND(P119*(1+'Навигатор накоплений'!D23*(IF(YEAR(N120)=YEAR(O120-1),(O120-N120)/(DATE(YEAR(N120),12,31)-DATE(YEAR(N120),1,1)+1),(DATE(YEAR(N120)+1,1,1)-N120)/(DATE(YEAR(N120),12,31)-DATE(YEAR(N120),1,1)+1)+(O120-DATE(YEAR(O120),1,1))/(DATE(YEAR(O120),12,31)-DATE(YEAR(O120),1,1)+1)))),2)+IF(O120&lt;'Навигатор накоплений'!F23,N('Навигатор накоплений'!G23),0))+0*LEN("P120"))</f>
        <v/>
      </c>
      <c r="Q120" s="45" t="str">
        <f>IF(OR(R119="",R119&gt;='Навигатор накоплений'!F24),"",(R119)+0*LEN("Q120"))</f>
        <v/>
      </c>
      <c r="R120" s="45" t="str">
        <f>IF(Q120="","",(MIN(EDATE(Q120,1),'Навигатор накоплений'!F24))+0*LEN("R120"))</f>
        <v/>
      </c>
      <c r="S120" s="46" t="str">
        <f>IF(R120="","",(ROUND(S119*(1+'Навигатор накоплений'!D24*(IF(YEAR(Q120)=YEAR(R120-1),(R120-Q120)/(DATE(YEAR(Q120),12,31)-DATE(YEAR(Q120),1,1)+1),(DATE(YEAR(Q120)+1,1,1)-Q120)/(DATE(YEAR(Q120),12,31)-DATE(YEAR(Q120),1,1)+1)+(R120-DATE(YEAR(R120),1,1))/(DATE(YEAR(R120),12,31)-DATE(YEAR(R120),1,1)+1)))),2)+IF(R120&lt;'Навигатор накоплений'!F24,N('Навигатор накоплений'!G24),0))+0*LEN("S120"))</f>
        <v/>
      </c>
      <c r="T120" s="45" t="str">
        <f>IF(OR(U119="",U119&gt;='Навигатор накоплений'!F27),"",(U119)+0*LEN("T120"))</f>
        <v/>
      </c>
      <c r="U120" s="45" t="str">
        <f>IF(T120="","",(MIN(EDATE(T120,1),'Навигатор накоплений'!F27))+0*LEN("U120"))</f>
        <v/>
      </c>
      <c r="V120" s="46" t="str">
        <f>IF(U120="","",(ROUND(V119*(1+'Навигатор накоплений'!D27*(IF(YEAR(T120)=YEAR(U120-1),(U120-T120)/(DATE(YEAR(T120),12,31)-DATE(YEAR(T120),1,1)+1),(DATE(YEAR(T120)+1,1,1)-T120)/(DATE(YEAR(T120),12,31)-DATE(YEAR(T120),1,1)+1)+(U120-DATE(YEAR(U120),1,1))/(DATE(YEAR(U120),12,31)-DATE(YEAR(U120),1,1)+1)))),2)+IF(U120&lt;'Навигатор накоплений'!F27,N('Навигатор накоплений'!G27),0))+0*LEN("V120"))</f>
        <v/>
      </c>
    </row>
    <row r="121" spans="1:22" ht="15" x14ac:dyDescent="0.2">
      <c r="A121"/>
      <c r="B121"/>
      <c r="C121"/>
      <c r="D121" t="str">
        <f t="shared" si="42"/>
        <v/>
      </c>
      <c r="E121"/>
      <c r="F121"/>
      <c r="G121" t="str">
        <f t="shared" si="40"/>
        <v/>
      </c>
      <c r="H121"/>
      <c r="I121" t="str">
        <f t="shared" si="41"/>
        <v/>
      </c>
      <c r="K121" s="45" t="str">
        <f>IF(OR(L120="",L120&gt;='Навигатор накоплений'!F22),"",(L120)+0*LEN("K121"))</f>
        <v/>
      </c>
      <c r="L121" s="45" t="str">
        <f>IF(K121="","",(MIN(EDATE(K121,1),'Навигатор накоплений'!F22))+0*LEN("L121"))</f>
        <v/>
      </c>
      <c r="M121" s="46" t="str">
        <f>IF(L121="","",(ROUND(M120*(1+'Навигатор накоплений'!D22*(IF(YEAR(K121)=YEAR(L121-1),(L121-K121)/(DATE(YEAR(K121),12,31)-DATE(YEAR(K121),1,1)+1),(DATE(YEAR(K121)+1,1,1)-K121)/(DATE(YEAR(K121),12,31)-DATE(YEAR(K121),1,1)+1)+(L121-DATE(YEAR(L121),1,1))/(DATE(YEAR(L121),12,31)-DATE(YEAR(L121),1,1)+1)))),2)+IF(L121&lt;'Навигатор накоплений'!F22,N('Навигатор накоплений'!G22),0))+0*LEN("M121"))</f>
        <v/>
      </c>
      <c r="N121" s="45" t="str">
        <f>IF(OR(O120="",O120&gt;='Навигатор накоплений'!F23),"",(O120)+0*LEN("N121"))</f>
        <v/>
      </c>
      <c r="O121" s="45" t="str">
        <f>IF(N121="","",(MIN(EDATE(N121,1),'Навигатор накоплений'!F23))+0*LEN("O121"))</f>
        <v/>
      </c>
      <c r="P121" s="46" t="str">
        <f>IF(O121="","",(ROUND(P120*(1+'Навигатор накоплений'!D23*(IF(YEAR(N121)=YEAR(O121-1),(O121-N121)/(DATE(YEAR(N121),12,31)-DATE(YEAR(N121),1,1)+1),(DATE(YEAR(N121)+1,1,1)-N121)/(DATE(YEAR(N121),12,31)-DATE(YEAR(N121),1,1)+1)+(O121-DATE(YEAR(O121),1,1))/(DATE(YEAR(O121),12,31)-DATE(YEAR(O121),1,1)+1)))),2)+IF(O121&lt;'Навигатор накоплений'!F23,N('Навигатор накоплений'!G23),0))+0*LEN("P121"))</f>
        <v/>
      </c>
      <c r="Q121" s="45" t="str">
        <f>IF(OR(R120="",R120&gt;='Навигатор накоплений'!F24),"",(R120)+0*LEN("Q121"))</f>
        <v/>
      </c>
      <c r="R121" s="45" t="str">
        <f>IF(Q121="","",(MIN(EDATE(Q121,1),'Навигатор накоплений'!F24))+0*LEN("R121"))</f>
        <v/>
      </c>
      <c r="S121" s="46" t="str">
        <f>IF(R121="","",(ROUND(S120*(1+'Навигатор накоплений'!D24*(IF(YEAR(Q121)=YEAR(R121-1),(R121-Q121)/(DATE(YEAR(Q121),12,31)-DATE(YEAR(Q121),1,1)+1),(DATE(YEAR(Q121)+1,1,1)-Q121)/(DATE(YEAR(Q121),12,31)-DATE(YEAR(Q121),1,1)+1)+(R121-DATE(YEAR(R121),1,1))/(DATE(YEAR(R121),12,31)-DATE(YEAR(R121),1,1)+1)))),2)+IF(R121&lt;'Навигатор накоплений'!F24,N('Навигатор накоплений'!G24),0))+0*LEN("S121"))</f>
        <v/>
      </c>
      <c r="T121" s="45" t="str">
        <f>IF(OR(U120="",U120&gt;='Навигатор накоплений'!F27),"",(U120)+0*LEN("T121"))</f>
        <v/>
      </c>
      <c r="U121" s="45" t="str">
        <f>IF(T121="","",(MIN(EDATE(T121,1),'Навигатор накоплений'!F27))+0*LEN("U121"))</f>
        <v/>
      </c>
      <c r="V121" s="46" t="str">
        <f>IF(U121="","",(ROUND(V120*(1+'Навигатор накоплений'!D27*(IF(YEAR(T121)=YEAR(U121-1),(U121-T121)/(DATE(YEAR(T121),12,31)-DATE(YEAR(T121),1,1)+1),(DATE(YEAR(T121)+1,1,1)-T121)/(DATE(YEAR(T121),12,31)-DATE(YEAR(T121),1,1)+1)+(U121-DATE(YEAR(U121),1,1))/(DATE(YEAR(U121),12,31)-DATE(YEAR(U121),1,1)+1)))),2)+IF(U121&lt;'Навигатор накоплений'!F27,N('Навигатор накоплений'!G27),0))+0*LEN("V121"))</f>
        <v/>
      </c>
    </row>
    <row r="122" spans="1:22" ht="15" x14ac:dyDescent="0.2">
      <c r="A122"/>
      <c r="B122"/>
      <c r="C122"/>
      <c r="D122" t="str">
        <f t="shared" si="42"/>
        <v/>
      </c>
      <c r="E122"/>
      <c r="F122"/>
      <c r="G122" t="str">
        <f t="shared" si="40"/>
        <v/>
      </c>
      <c r="H122"/>
      <c r="I122" t="str">
        <f t="shared" si="41"/>
        <v/>
      </c>
      <c r="K122" s="45" t="str">
        <f>IF(OR(L121="",L121&gt;='Навигатор накоплений'!F22),"",(L121)+0*LEN("K122"))</f>
        <v/>
      </c>
      <c r="L122" s="45" t="str">
        <f>IF(K122="","",(MIN(EDATE(K122,1),'Навигатор накоплений'!F22))+0*LEN("L122"))</f>
        <v/>
      </c>
      <c r="M122" s="46" t="str">
        <f>IF(L122="","",(ROUND(M121*(1+'Навигатор накоплений'!D22*(IF(YEAR(K122)=YEAR(L122-1),(L122-K122)/(DATE(YEAR(K122),12,31)-DATE(YEAR(K122),1,1)+1),(DATE(YEAR(K122)+1,1,1)-K122)/(DATE(YEAR(K122),12,31)-DATE(YEAR(K122),1,1)+1)+(L122-DATE(YEAR(L122),1,1))/(DATE(YEAR(L122),12,31)-DATE(YEAR(L122),1,1)+1)))),2)+IF(L122&lt;'Навигатор накоплений'!F22,N('Навигатор накоплений'!G22),0))+0*LEN("M122"))</f>
        <v/>
      </c>
      <c r="N122" s="45" t="str">
        <f>IF(OR(O121="",O121&gt;='Навигатор накоплений'!F23),"",(O121)+0*LEN("N122"))</f>
        <v/>
      </c>
      <c r="O122" s="45" t="str">
        <f>IF(N122="","",(MIN(EDATE(N122,1),'Навигатор накоплений'!F23))+0*LEN("O122"))</f>
        <v/>
      </c>
      <c r="P122" s="46" t="str">
        <f>IF(O122="","",(ROUND(P121*(1+'Навигатор накоплений'!D23*(IF(YEAR(N122)=YEAR(O122-1),(O122-N122)/(DATE(YEAR(N122),12,31)-DATE(YEAR(N122),1,1)+1),(DATE(YEAR(N122)+1,1,1)-N122)/(DATE(YEAR(N122),12,31)-DATE(YEAR(N122),1,1)+1)+(O122-DATE(YEAR(O122),1,1))/(DATE(YEAR(O122),12,31)-DATE(YEAR(O122),1,1)+1)))),2)+IF(O122&lt;'Навигатор накоплений'!F23,N('Навигатор накоплений'!G23),0))+0*LEN("P122"))</f>
        <v/>
      </c>
      <c r="Q122" s="45" t="str">
        <f>IF(OR(R121="",R121&gt;='Навигатор накоплений'!F24),"",(R121)+0*LEN("Q122"))</f>
        <v/>
      </c>
      <c r="R122" s="45" t="str">
        <f>IF(Q122="","",(MIN(EDATE(Q122,1),'Навигатор накоплений'!F24))+0*LEN("R122"))</f>
        <v/>
      </c>
      <c r="S122" s="46" t="str">
        <f>IF(R122="","",(ROUND(S121*(1+'Навигатор накоплений'!D24*(IF(YEAR(Q122)=YEAR(R122-1),(R122-Q122)/(DATE(YEAR(Q122),12,31)-DATE(YEAR(Q122),1,1)+1),(DATE(YEAR(Q122)+1,1,1)-Q122)/(DATE(YEAR(Q122),12,31)-DATE(YEAR(Q122),1,1)+1)+(R122-DATE(YEAR(R122),1,1))/(DATE(YEAR(R122),12,31)-DATE(YEAR(R122),1,1)+1)))),2)+IF(R122&lt;'Навигатор накоплений'!F24,N('Навигатор накоплений'!G24),0))+0*LEN("S122"))</f>
        <v/>
      </c>
      <c r="T122" s="45" t="str">
        <f>IF(OR(U121="",U121&gt;='Навигатор накоплений'!F27),"",(U121)+0*LEN("T122"))</f>
        <v/>
      </c>
      <c r="U122" s="45" t="str">
        <f>IF(T122="","",(MIN(EDATE(T122,1),'Навигатор накоплений'!F27))+0*LEN("U122"))</f>
        <v/>
      </c>
      <c r="V122" s="46" t="str">
        <f>IF(U122="","",(ROUND(V121*(1+'Навигатор накоплений'!D27*(IF(YEAR(T122)=YEAR(U122-1),(U122-T122)/(DATE(YEAR(T122),12,31)-DATE(YEAR(T122),1,1)+1),(DATE(YEAR(T122)+1,1,1)-T122)/(DATE(YEAR(T122),12,31)-DATE(YEAR(T122),1,1)+1)+(U122-DATE(YEAR(U122),1,1))/(DATE(YEAR(U122),12,31)-DATE(YEAR(U122),1,1)+1)))),2)+IF(U122&lt;'Навигатор накоплений'!F27,N('Навигатор накоплений'!G27),0))+0*LEN("V122"))</f>
        <v/>
      </c>
    </row>
    <row r="123" spans="1:22" ht="15" x14ac:dyDescent="0.2">
      <c r="A123"/>
      <c r="B123"/>
      <c r="C123"/>
      <c r="D123" t="str">
        <f t="shared" si="42"/>
        <v/>
      </c>
      <c r="E123"/>
      <c r="F123"/>
      <c r="G123" t="str">
        <f t="shared" si="40"/>
        <v/>
      </c>
      <c r="H123"/>
      <c r="I123" t="str">
        <f t="shared" si="41"/>
        <v/>
      </c>
      <c r="K123" s="45" t="str">
        <f>IF(OR(L122="",L122&gt;='Навигатор накоплений'!F22),"",(L122)+0*LEN("K123"))</f>
        <v/>
      </c>
      <c r="L123" s="45" t="str">
        <f>IF(K123="","",(MIN(EDATE(K123,1),'Навигатор накоплений'!F22))+0*LEN("L123"))</f>
        <v/>
      </c>
      <c r="M123" s="46" t="str">
        <f>IF(L123="","",(ROUND(M122*(1+'Навигатор накоплений'!D22*(IF(YEAR(K123)=YEAR(L123-1),(L123-K123)/(DATE(YEAR(K123),12,31)-DATE(YEAR(K123),1,1)+1),(DATE(YEAR(K123)+1,1,1)-K123)/(DATE(YEAR(K123),12,31)-DATE(YEAR(K123),1,1)+1)+(L123-DATE(YEAR(L123),1,1))/(DATE(YEAR(L123),12,31)-DATE(YEAR(L123),1,1)+1)))),2)+IF(L123&lt;'Навигатор накоплений'!F22,N('Навигатор накоплений'!G22),0))+0*LEN("M123"))</f>
        <v/>
      </c>
      <c r="N123" s="45" t="str">
        <f>IF(OR(O122="",O122&gt;='Навигатор накоплений'!F23),"",(O122)+0*LEN("N123"))</f>
        <v/>
      </c>
      <c r="O123" s="45" t="str">
        <f>IF(N123="","",(MIN(EDATE(N123,1),'Навигатор накоплений'!F23))+0*LEN("O123"))</f>
        <v/>
      </c>
      <c r="P123" s="46" t="str">
        <f>IF(O123="","",(ROUND(P122*(1+'Навигатор накоплений'!D23*(IF(YEAR(N123)=YEAR(O123-1),(O123-N123)/(DATE(YEAR(N123),12,31)-DATE(YEAR(N123),1,1)+1),(DATE(YEAR(N123)+1,1,1)-N123)/(DATE(YEAR(N123),12,31)-DATE(YEAR(N123),1,1)+1)+(O123-DATE(YEAR(O123),1,1))/(DATE(YEAR(O123),12,31)-DATE(YEAR(O123),1,1)+1)))),2)+IF(O123&lt;'Навигатор накоплений'!F23,N('Навигатор накоплений'!G23),0))+0*LEN("P123"))</f>
        <v/>
      </c>
      <c r="Q123" s="45" t="str">
        <f>IF(OR(R122="",R122&gt;='Навигатор накоплений'!F24),"",(R122)+0*LEN("Q123"))</f>
        <v/>
      </c>
      <c r="R123" s="45" t="str">
        <f>IF(Q123="","",(MIN(EDATE(Q123,1),'Навигатор накоплений'!F24))+0*LEN("R123"))</f>
        <v/>
      </c>
      <c r="S123" s="46" t="str">
        <f>IF(R123="","",(ROUND(S122*(1+'Навигатор накоплений'!D24*(IF(YEAR(Q123)=YEAR(R123-1),(R123-Q123)/(DATE(YEAR(Q123),12,31)-DATE(YEAR(Q123),1,1)+1),(DATE(YEAR(Q123)+1,1,1)-Q123)/(DATE(YEAR(Q123),12,31)-DATE(YEAR(Q123),1,1)+1)+(R123-DATE(YEAR(R123),1,1))/(DATE(YEAR(R123),12,31)-DATE(YEAR(R123),1,1)+1)))),2)+IF(R123&lt;'Навигатор накоплений'!F24,N('Навигатор накоплений'!G24),0))+0*LEN("S123"))</f>
        <v/>
      </c>
      <c r="T123" s="45" t="str">
        <f>IF(OR(U122="",U122&gt;='Навигатор накоплений'!F27),"",(U122)+0*LEN("T123"))</f>
        <v/>
      </c>
      <c r="U123" s="45" t="str">
        <f>IF(T123="","",(MIN(EDATE(T123,1),'Навигатор накоплений'!F27))+0*LEN("U123"))</f>
        <v/>
      </c>
      <c r="V123" s="46" t="str">
        <f>IF(U123="","",(ROUND(V122*(1+'Навигатор накоплений'!D27*(IF(YEAR(T123)=YEAR(U123-1),(U123-T123)/(DATE(YEAR(T123),12,31)-DATE(YEAR(T123),1,1)+1),(DATE(YEAR(T123)+1,1,1)-T123)/(DATE(YEAR(T123),12,31)-DATE(YEAR(T123),1,1)+1)+(U123-DATE(YEAR(U123),1,1))/(DATE(YEAR(U123),12,31)-DATE(YEAR(U123),1,1)+1)))),2)+IF(U123&lt;'Навигатор накоплений'!F27,N('Навигатор накоплений'!G27),0))+0*LEN("V123"))</f>
        <v/>
      </c>
    </row>
    <row r="124" spans="1:22" ht="15" x14ac:dyDescent="0.2">
      <c r="A124"/>
      <c r="B124"/>
      <c r="C124"/>
      <c r="D124"/>
      <c r="E124"/>
      <c r="F124"/>
      <c r="G124"/>
      <c r="H124"/>
      <c r="I124"/>
      <c r="K124" s="45" t="str">
        <f>IF(OR(L123="",L123&gt;='Навигатор накоплений'!F22),"",(L123)+0*LEN("K124"))</f>
        <v/>
      </c>
      <c r="L124" s="45" t="str">
        <f>IF(K124="","",(MIN(EDATE(K124,1),'Навигатор накоплений'!F22))+0*LEN("L124"))</f>
        <v/>
      </c>
      <c r="M124" s="46" t="str">
        <f>IF(L124="","",(ROUND(M123*(1+'Навигатор накоплений'!D22*(IF(YEAR(K124)=YEAR(L124-1),(L124-K124)/(DATE(YEAR(K124),12,31)-DATE(YEAR(K124),1,1)+1),(DATE(YEAR(K124)+1,1,1)-K124)/(DATE(YEAR(K124),12,31)-DATE(YEAR(K124),1,1)+1)+(L124-DATE(YEAR(L124),1,1))/(DATE(YEAR(L124),12,31)-DATE(YEAR(L124),1,1)+1)))),2)+IF(L124&lt;'Навигатор накоплений'!F22,N('Навигатор накоплений'!G22),0))+0*LEN("M124"))</f>
        <v/>
      </c>
      <c r="N124" s="45" t="str">
        <f>IF(OR(O123="",O123&gt;='Навигатор накоплений'!F23),"",(O123)+0*LEN("N124"))</f>
        <v/>
      </c>
      <c r="O124" s="45" t="str">
        <f>IF(N124="","",(MIN(EDATE(N124,1),'Навигатор накоплений'!F23))+0*LEN("O124"))</f>
        <v/>
      </c>
      <c r="P124" s="46" t="str">
        <f>IF(O124="","",(ROUND(P123*(1+'Навигатор накоплений'!D23*(IF(YEAR(N124)=YEAR(O124-1),(O124-N124)/(DATE(YEAR(N124),12,31)-DATE(YEAR(N124),1,1)+1),(DATE(YEAR(N124)+1,1,1)-N124)/(DATE(YEAR(N124),12,31)-DATE(YEAR(N124),1,1)+1)+(O124-DATE(YEAR(O124),1,1))/(DATE(YEAR(O124),12,31)-DATE(YEAR(O124),1,1)+1)))),2)+IF(O124&lt;'Навигатор накоплений'!F23,N('Навигатор накоплений'!G23),0))+0*LEN("P124"))</f>
        <v/>
      </c>
      <c r="Q124" s="45" t="str">
        <f>IF(OR(R123="",R123&gt;='Навигатор накоплений'!F24),"",(R123)+0*LEN("Q124"))</f>
        <v/>
      </c>
      <c r="R124" s="45" t="str">
        <f>IF(Q124="","",(MIN(EDATE(Q124,1),'Навигатор накоплений'!F24))+0*LEN("R124"))</f>
        <v/>
      </c>
      <c r="S124" s="46" t="str">
        <f>IF(R124="","",(ROUND(S123*(1+'Навигатор накоплений'!D24*(IF(YEAR(Q124)=YEAR(R124-1),(R124-Q124)/(DATE(YEAR(Q124),12,31)-DATE(YEAR(Q124),1,1)+1),(DATE(YEAR(Q124)+1,1,1)-Q124)/(DATE(YEAR(Q124),12,31)-DATE(YEAR(Q124),1,1)+1)+(R124-DATE(YEAR(R124),1,1))/(DATE(YEAR(R124),12,31)-DATE(YEAR(R124),1,1)+1)))),2)+IF(R124&lt;'Навигатор накоплений'!F24,N('Навигатор накоплений'!G24),0))+0*LEN("S124"))</f>
        <v/>
      </c>
      <c r="T124" s="45" t="str">
        <f>IF(OR(U123="",U123&gt;='Навигатор накоплений'!F27),"",(U123)+0*LEN("T124"))</f>
        <v/>
      </c>
      <c r="U124" s="45" t="str">
        <f>IF(T124="","",(MIN(EDATE(T124,1),'Навигатор накоплений'!F27))+0*LEN("U124"))</f>
        <v/>
      </c>
      <c r="V124" s="46" t="str">
        <f>IF(U124="","",(ROUND(V123*(1+'Навигатор накоплений'!D27*(IF(YEAR(T124)=YEAR(U124-1),(U124-T124)/(DATE(YEAR(T124),12,31)-DATE(YEAR(T124),1,1)+1),(DATE(YEAR(T124)+1,1,1)-T124)/(DATE(YEAR(T124),12,31)-DATE(YEAR(T124),1,1)+1)+(U124-DATE(YEAR(U124),1,1))/(DATE(YEAR(U124),12,31)-DATE(YEAR(U124),1,1)+1)))),2)+IF(U124&lt;'Навигатор накоплений'!F27,N('Навигатор накоплений'!G27),0))+0*LEN("V124"))</f>
        <v/>
      </c>
    </row>
    <row r="125" spans="1:22" ht="15" x14ac:dyDescent="0.2">
      <c r="K125" s="45" t="str">
        <f>IF(OR(L124="",L124&gt;='Навигатор накоплений'!F22),"",(L124)+0*LEN("K125"))</f>
        <v/>
      </c>
      <c r="L125" s="45" t="str">
        <f>IF(K125="","",(MIN(EDATE(K125,1),'Навигатор накоплений'!F22))+0*LEN("L125"))</f>
        <v/>
      </c>
      <c r="M125" s="46" t="str">
        <f>IF(L125="","",(ROUND(M124*(1+'Навигатор накоплений'!D22*(IF(YEAR(K125)=YEAR(L125-1),(L125-K125)/(DATE(YEAR(K125),12,31)-DATE(YEAR(K125),1,1)+1),(DATE(YEAR(K125)+1,1,1)-K125)/(DATE(YEAR(K125),12,31)-DATE(YEAR(K125),1,1)+1)+(L125-DATE(YEAR(L125),1,1))/(DATE(YEAR(L125),12,31)-DATE(YEAR(L125),1,1)+1)))),2)+IF(L125&lt;'Навигатор накоплений'!F22,N('Навигатор накоплений'!G22),0))+0*LEN("M125"))</f>
        <v/>
      </c>
      <c r="N125" s="45" t="str">
        <f>IF(OR(O124="",O124&gt;='Навигатор накоплений'!F23),"",(O124)+0*LEN("N125"))</f>
        <v/>
      </c>
      <c r="O125" s="45" t="str">
        <f>IF(N125="","",(MIN(EDATE(N125,1),'Навигатор накоплений'!F23))+0*LEN("O125"))</f>
        <v/>
      </c>
      <c r="P125" s="46" t="str">
        <f>IF(O125="","",(ROUND(P124*(1+'Навигатор накоплений'!D23*(IF(YEAR(N125)=YEAR(O125-1),(O125-N125)/(DATE(YEAR(N125),12,31)-DATE(YEAR(N125),1,1)+1),(DATE(YEAR(N125)+1,1,1)-N125)/(DATE(YEAR(N125),12,31)-DATE(YEAR(N125),1,1)+1)+(O125-DATE(YEAR(O125),1,1))/(DATE(YEAR(O125),12,31)-DATE(YEAR(O125),1,1)+1)))),2)+IF(O125&lt;'Навигатор накоплений'!F23,N('Навигатор накоплений'!G23),0))+0*LEN("P125"))</f>
        <v/>
      </c>
      <c r="Q125" s="45" t="str">
        <f>IF(OR(R124="",R124&gt;='Навигатор накоплений'!F24),"",(R124)+0*LEN("Q125"))</f>
        <v/>
      </c>
      <c r="R125" s="45" t="str">
        <f>IF(Q125="","",(MIN(EDATE(Q125,1),'Навигатор накоплений'!F24))+0*LEN("R125"))</f>
        <v/>
      </c>
      <c r="S125" s="46" t="str">
        <f>IF(R125="","",(ROUND(S124*(1+'Навигатор накоплений'!D24*(IF(YEAR(Q125)=YEAR(R125-1),(R125-Q125)/(DATE(YEAR(Q125),12,31)-DATE(YEAR(Q125),1,1)+1),(DATE(YEAR(Q125)+1,1,1)-Q125)/(DATE(YEAR(Q125),12,31)-DATE(YEAR(Q125),1,1)+1)+(R125-DATE(YEAR(R125),1,1))/(DATE(YEAR(R125),12,31)-DATE(YEAR(R125),1,1)+1)))),2)+IF(R125&lt;'Навигатор накоплений'!F24,N('Навигатор накоплений'!G24),0))+0*LEN("S125"))</f>
        <v/>
      </c>
      <c r="T125" s="45" t="str">
        <f>IF(OR(U124="",U124&gt;='Навигатор накоплений'!F27),"",(U124)+0*LEN("T125"))</f>
        <v/>
      </c>
      <c r="U125" s="45" t="str">
        <f>IF(T125="","",(MIN(EDATE(T125,1),'Навигатор накоплений'!F27))+0*LEN("U125"))</f>
        <v/>
      </c>
      <c r="V125" s="46" t="str">
        <f>IF(U125="","",(ROUND(V124*(1+'Навигатор накоплений'!D27*(IF(YEAR(T125)=YEAR(U125-1),(U125-T125)/(DATE(YEAR(T125),12,31)-DATE(YEAR(T125),1,1)+1),(DATE(YEAR(T125)+1,1,1)-T125)/(DATE(YEAR(T125),12,31)-DATE(YEAR(T125),1,1)+1)+(U125-DATE(YEAR(U125),1,1))/(DATE(YEAR(U125),12,31)-DATE(YEAR(U125),1,1)+1)))),2)+IF(U125&lt;'Навигатор накоплений'!F27,N('Навигатор накоплений'!G27),0))+0*LEN("V125"))</f>
        <v/>
      </c>
    </row>
    <row r="126" spans="1:22" ht="15" x14ac:dyDescent="0.2">
      <c r="K126" s="45" t="str">
        <f>IF(OR(L125="",L125&gt;='Навигатор накоплений'!F22),"",(L125)+0*LEN("K126"))</f>
        <v/>
      </c>
      <c r="L126" s="45" t="str">
        <f>IF(K126="","",(MIN(EDATE(K126,1),'Навигатор накоплений'!F22))+0*LEN("L126"))</f>
        <v/>
      </c>
      <c r="M126" s="46" t="str">
        <f>IF(L126="","",(ROUND(M125*(1+'Навигатор накоплений'!D22*(IF(YEAR(K126)=YEAR(L126-1),(L126-K126)/(DATE(YEAR(K126),12,31)-DATE(YEAR(K126),1,1)+1),(DATE(YEAR(K126)+1,1,1)-K126)/(DATE(YEAR(K126),12,31)-DATE(YEAR(K126),1,1)+1)+(L126-DATE(YEAR(L126),1,1))/(DATE(YEAR(L126),12,31)-DATE(YEAR(L126),1,1)+1)))),2)+IF(L126&lt;'Навигатор накоплений'!F22,N('Навигатор накоплений'!G22),0))+0*LEN("M126"))</f>
        <v/>
      </c>
      <c r="N126" s="45" t="str">
        <f>IF(OR(O125="",O125&gt;='Навигатор накоплений'!F23),"",(O125)+0*LEN("N126"))</f>
        <v/>
      </c>
      <c r="O126" s="45" t="str">
        <f>IF(N126="","",(MIN(EDATE(N126,1),'Навигатор накоплений'!F23))+0*LEN("O126"))</f>
        <v/>
      </c>
      <c r="P126" s="46" t="str">
        <f>IF(O126="","",(ROUND(P125*(1+'Навигатор накоплений'!D23*(IF(YEAR(N126)=YEAR(O126-1),(O126-N126)/(DATE(YEAR(N126),12,31)-DATE(YEAR(N126),1,1)+1),(DATE(YEAR(N126)+1,1,1)-N126)/(DATE(YEAR(N126),12,31)-DATE(YEAR(N126),1,1)+1)+(O126-DATE(YEAR(O126),1,1))/(DATE(YEAR(O126),12,31)-DATE(YEAR(O126),1,1)+1)))),2)+IF(O126&lt;'Навигатор накоплений'!F23,N('Навигатор накоплений'!G23),0))+0*LEN("P126"))</f>
        <v/>
      </c>
      <c r="Q126" s="45" t="str">
        <f>IF(OR(R125="",R125&gt;='Навигатор накоплений'!F24),"",(R125)+0*LEN("Q126"))</f>
        <v/>
      </c>
      <c r="R126" s="45" t="str">
        <f>IF(Q126="","",(MIN(EDATE(Q126,1),'Навигатор накоплений'!F24))+0*LEN("R126"))</f>
        <v/>
      </c>
      <c r="S126" s="46" t="str">
        <f>IF(R126="","",(ROUND(S125*(1+'Навигатор накоплений'!D24*(IF(YEAR(Q126)=YEAR(R126-1),(R126-Q126)/(DATE(YEAR(Q126),12,31)-DATE(YEAR(Q126),1,1)+1),(DATE(YEAR(Q126)+1,1,1)-Q126)/(DATE(YEAR(Q126),12,31)-DATE(YEAR(Q126),1,1)+1)+(R126-DATE(YEAR(R126),1,1))/(DATE(YEAR(R126),12,31)-DATE(YEAR(R126),1,1)+1)))),2)+IF(R126&lt;'Навигатор накоплений'!F24,N('Навигатор накоплений'!G24),0))+0*LEN("S126"))</f>
        <v/>
      </c>
      <c r="T126" s="45" t="str">
        <f>IF(OR(U125="",U125&gt;='Навигатор накоплений'!F27),"",(U125)+0*LEN("T126"))</f>
        <v/>
      </c>
      <c r="U126" s="45" t="str">
        <f>IF(T126="","",(MIN(EDATE(T126,1),'Навигатор накоплений'!F27))+0*LEN("U126"))</f>
        <v/>
      </c>
      <c r="V126" s="46" t="str">
        <f>IF(U126="","",(ROUND(V125*(1+'Навигатор накоплений'!D27*(IF(YEAR(T126)=YEAR(U126-1),(U126-T126)/(DATE(YEAR(T126),12,31)-DATE(YEAR(T126),1,1)+1),(DATE(YEAR(T126)+1,1,1)-T126)/(DATE(YEAR(T126),12,31)-DATE(YEAR(T126),1,1)+1)+(U126-DATE(YEAR(U126),1,1))/(DATE(YEAR(U126),12,31)-DATE(YEAR(U126),1,1)+1)))),2)+IF(U126&lt;'Навигатор накоплений'!F27,N('Навигатор накоплений'!G27),0))+0*LEN("V126"))</f>
        <v/>
      </c>
    </row>
    <row r="127" spans="1:22" ht="15" x14ac:dyDescent="0.2">
      <c r="A127"/>
      <c r="B127"/>
      <c r="C127"/>
      <c r="D127"/>
      <c r="E127"/>
      <c r="F127"/>
      <c r="G127"/>
      <c r="H127"/>
      <c r="I127"/>
      <c r="K127" s="45" t="str">
        <f>IF(OR(L126="",L126&gt;='Навигатор накоплений'!F22),"",(L126)+0*LEN("K127"))</f>
        <v/>
      </c>
      <c r="L127" s="45" t="str">
        <f>IF(K127="","",(MIN(EDATE(K127,1),'Навигатор накоплений'!F22))+0*LEN("L127"))</f>
        <v/>
      </c>
      <c r="M127" s="46" t="str">
        <f>IF(L127="","",(ROUND(M126*(1+'Навигатор накоплений'!D22*(IF(YEAR(K127)=YEAR(L127-1),(L127-K127)/(DATE(YEAR(K127),12,31)-DATE(YEAR(K127),1,1)+1),(DATE(YEAR(K127)+1,1,1)-K127)/(DATE(YEAR(K127),12,31)-DATE(YEAR(K127),1,1)+1)+(L127-DATE(YEAR(L127),1,1))/(DATE(YEAR(L127),12,31)-DATE(YEAR(L127),1,1)+1)))),2)+IF(L127&lt;'Навигатор накоплений'!F22,N('Навигатор накоплений'!G22),0))+0*LEN("M127"))</f>
        <v/>
      </c>
      <c r="N127" s="45" t="str">
        <f>IF(OR(O126="",O126&gt;='Навигатор накоплений'!F23),"",(O126)+0*LEN("N127"))</f>
        <v/>
      </c>
      <c r="O127" s="45" t="str">
        <f>IF(N127="","",(MIN(EDATE(N127,1),'Навигатор накоплений'!F23))+0*LEN("O127"))</f>
        <v/>
      </c>
      <c r="P127" s="46" t="str">
        <f>IF(O127="","",(ROUND(P126*(1+'Навигатор накоплений'!D23*(IF(YEAR(N127)=YEAR(O127-1),(O127-N127)/(DATE(YEAR(N127),12,31)-DATE(YEAR(N127),1,1)+1),(DATE(YEAR(N127)+1,1,1)-N127)/(DATE(YEAR(N127),12,31)-DATE(YEAR(N127),1,1)+1)+(O127-DATE(YEAR(O127),1,1))/(DATE(YEAR(O127),12,31)-DATE(YEAR(O127),1,1)+1)))),2)+IF(O127&lt;'Навигатор накоплений'!F23,N('Навигатор накоплений'!G23),0))+0*LEN("P127"))</f>
        <v/>
      </c>
      <c r="Q127" s="45" t="str">
        <f>IF(OR(R126="",R126&gt;='Навигатор накоплений'!F24),"",(R126)+0*LEN("Q127"))</f>
        <v/>
      </c>
      <c r="R127" s="45" t="str">
        <f>IF(Q127="","",(MIN(EDATE(Q127,1),'Навигатор накоплений'!F24))+0*LEN("R127"))</f>
        <v/>
      </c>
      <c r="S127" s="46" t="str">
        <f>IF(R127="","",(ROUND(S126*(1+'Навигатор накоплений'!D24*(IF(YEAR(Q127)=YEAR(R127-1),(R127-Q127)/(DATE(YEAR(Q127),12,31)-DATE(YEAR(Q127),1,1)+1),(DATE(YEAR(Q127)+1,1,1)-Q127)/(DATE(YEAR(Q127),12,31)-DATE(YEAR(Q127),1,1)+1)+(R127-DATE(YEAR(R127),1,1))/(DATE(YEAR(R127),12,31)-DATE(YEAR(R127),1,1)+1)))),2)+IF(R127&lt;'Навигатор накоплений'!F24,N('Навигатор накоплений'!G24),0))+0*LEN("S127"))</f>
        <v/>
      </c>
      <c r="T127" s="45" t="str">
        <f>IF(OR(U126="",U126&gt;='Навигатор накоплений'!F27),"",(U126)+0*LEN("T127"))</f>
        <v/>
      </c>
      <c r="U127" s="45" t="str">
        <f>IF(T127="","",(MIN(EDATE(T127,1),'Навигатор накоплений'!F27))+0*LEN("U127"))</f>
        <v/>
      </c>
      <c r="V127" s="46" t="str">
        <f>IF(U127="","",(ROUND(V126*(1+'Навигатор накоплений'!D27*(IF(YEAR(T127)=YEAR(U127-1),(U127-T127)/(DATE(YEAR(T127),12,31)-DATE(YEAR(T127),1,1)+1),(DATE(YEAR(T127)+1,1,1)-T127)/(DATE(YEAR(T127),12,31)-DATE(YEAR(T127),1,1)+1)+(U127-DATE(YEAR(U127),1,1))/(DATE(YEAR(U127),12,31)-DATE(YEAR(U127),1,1)+1)))),2)+IF(U127&lt;'Навигатор накоплений'!F27,N('Навигатор накоплений'!G27),0))+0*LEN("V127"))</f>
        <v/>
      </c>
    </row>
    <row r="128" spans="1:22" ht="15" x14ac:dyDescent="0.2">
      <c r="A128"/>
      <c r="B128"/>
      <c r="C128"/>
      <c r="D128"/>
      <c r="E128"/>
      <c r="F128"/>
      <c r="G128"/>
      <c r="H128"/>
      <c r="I128"/>
      <c r="K128" s="45" t="str">
        <f>IF(OR(L127="",L127&gt;='Навигатор накоплений'!F22),"",(L127)+0*LEN("K128"))</f>
        <v/>
      </c>
      <c r="L128" s="45" t="str">
        <f>IF(K128="","",(MIN(EDATE(K128,1),'Навигатор накоплений'!F22))+0*LEN("L128"))</f>
        <v/>
      </c>
      <c r="M128" s="46" t="str">
        <f>IF(L128="","",(ROUND(M127*(1+'Навигатор накоплений'!D22*(IF(YEAR(K128)=YEAR(L128-1),(L128-K128)/(DATE(YEAR(K128),12,31)-DATE(YEAR(K128),1,1)+1),(DATE(YEAR(K128)+1,1,1)-K128)/(DATE(YEAR(K128),12,31)-DATE(YEAR(K128),1,1)+1)+(L128-DATE(YEAR(L128),1,1))/(DATE(YEAR(L128),12,31)-DATE(YEAR(L128),1,1)+1)))),2)+IF(L128&lt;'Навигатор накоплений'!F22,N('Навигатор накоплений'!G22),0))+0*LEN("M128"))</f>
        <v/>
      </c>
      <c r="N128" s="45" t="str">
        <f>IF(OR(O127="",O127&gt;='Навигатор накоплений'!F23),"",(O127)+0*LEN("N128"))</f>
        <v/>
      </c>
      <c r="O128" s="45" t="str">
        <f>IF(N128="","",(MIN(EDATE(N128,1),'Навигатор накоплений'!F23))+0*LEN("O128"))</f>
        <v/>
      </c>
      <c r="P128" s="46" t="str">
        <f>IF(O128="","",(ROUND(P127*(1+'Навигатор накоплений'!D23*(IF(YEAR(N128)=YEAR(O128-1),(O128-N128)/(DATE(YEAR(N128),12,31)-DATE(YEAR(N128),1,1)+1),(DATE(YEAR(N128)+1,1,1)-N128)/(DATE(YEAR(N128),12,31)-DATE(YEAR(N128),1,1)+1)+(O128-DATE(YEAR(O128),1,1))/(DATE(YEAR(O128),12,31)-DATE(YEAR(O128),1,1)+1)))),2)+IF(O128&lt;'Навигатор накоплений'!F23,N('Навигатор накоплений'!G23),0))+0*LEN("P128"))</f>
        <v/>
      </c>
      <c r="Q128" s="45" t="str">
        <f>IF(OR(R127="",R127&gt;='Навигатор накоплений'!F24),"",(R127)+0*LEN("Q128"))</f>
        <v/>
      </c>
      <c r="R128" s="45" t="str">
        <f>IF(Q128="","",(MIN(EDATE(Q128,1),'Навигатор накоплений'!F24))+0*LEN("R128"))</f>
        <v/>
      </c>
      <c r="S128" s="46" t="str">
        <f>IF(R128="","",(ROUND(S127*(1+'Навигатор накоплений'!D24*(IF(YEAR(Q128)=YEAR(R128-1),(R128-Q128)/(DATE(YEAR(Q128),12,31)-DATE(YEAR(Q128),1,1)+1),(DATE(YEAR(Q128)+1,1,1)-Q128)/(DATE(YEAR(Q128),12,31)-DATE(YEAR(Q128),1,1)+1)+(R128-DATE(YEAR(R128),1,1))/(DATE(YEAR(R128),12,31)-DATE(YEAR(R128),1,1)+1)))),2)+IF(R128&lt;'Навигатор накоплений'!F24,N('Навигатор накоплений'!G24),0))+0*LEN("S128"))</f>
        <v/>
      </c>
      <c r="T128" s="45" t="str">
        <f>IF(OR(U127="",U127&gt;='Навигатор накоплений'!F27),"",(U127)+0*LEN("T128"))</f>
        <v/>
      </c>
      <c r="U128" s="45" t="str">
        <f>IF(T128="","",(MIN(EDATE(T128,1),'Навигатор накоплений'!F27))+0*LEN("U128"))</f>
        <v/>
      </c>
      <c r="V128" s="46" t="str">
        <f>IF(U128="","",(ROUND(V127*(1+'Навигатор накоплений'!D27*(IF(YEAR(T128)=YEAR(U128-1),(U128-T128)/(DATE(YEAR(T128),12,31)-DATE(YEAR(T128),1,1)+1),(DATE(YEAR(T128)+1,1,1)-T128)/(DATE(YEAR(T128),12,31)-DATE(YEAR(T128),1,1)+1)+(U128-DATE(YEAR(U128),1,1))/(DATE(YEAR(U128),12,31)-DATE(YEAR(U128),1,1)+1)))),2)+IF(U128&lt;'Навигатор накоплений'!F27,N('Навигатор накоплений'!G27),0))+0*LEN("V128"))</f>
        <v/>
      </c>
    </row>
    <row r="129" spans="1:22" ht="15" x14ac:dyDescent="0.2">
      <c r="A129"/>
      <c r="B129"/>
      <c r="C129"/>
      <c r="D129"/>
      <c r="E129"/>
      <c r="F129"/>
      <c r="G129" t="str">
        <f t="shared" ref="G129:G140" si="43">IF(B129="","",C129-B129)</f>
        <v/>
      </c>
      <c r="H129"/>
      <c r="I129" t="str">
        <f t="shared" ref="I129:I140" si="44">IF(B129="","",ROUND(D129+E129+H129,2))</f>
        <v/>
      </c>
      <c r="K129" s="45" t="str">
        <f>IF(OR(L128="",L128&gt;='Навигатор накоплений'!F22),"",(L128)+0*LEN("K129"))</f>
        <v/>
      </c>
      <c r="L129" s="45" t="str">
        <f>IF(K129="","",(MIN(EDATE(K129,1),'Навигатор накоплений'!F22))+0*LEN("L129"))</f>
        <v/>
      </c>
      <c r="M129" s="46" t="str">
        <f>IF(L129="","",(ROUND(M128*(1+'Навигатор накоплений'!D22*(IF(YEAR(K129)=YEAR(L129-1),(L129-K129)/(DATE(YEAR(K129),12,31)-DATE(YEAR(K129),1,1)+1),(DATE(YEAR(K129)+1,1,1)-K129)/(DATE(YEAR(K129),12,31)-DATE(YEAR(K129),1,1)+1)+(L129-DATE(YEAR(L129),1,1))/(DATE(YEAR(L129),12,31)-DATE(YEAR(L129),1,1)+1)))),2)+IF(L129&lt;'Навигатор накоплений'!F22,N('Навигатор накоплений'!G22),0))+0*LEN("M129"))</f>
        <v/>
      </c>
      <c r="N129" s="45" t="str">
        <f>IF(OR(O128="",O128&gt;='Навигатор накоплений'!F23),"",(O128)+0*LEN("N129"))</f>
        <v/>
      </c>
      <c r="O129" s="45" t="str">
        <f>IF(N129="","",(MIN(EDATE(N129,1),'Навигатор накоплений'!F23))+0*LEN("O129"))</f>
        <v/>
      </c>
      <c r="P129" s="46" t="str">
        <f>IF(O129="","",(ROUND(P128*(1+'Навигатор накоплений'!D23*(IF(YEAR(N129)=YEAR(O129-1),(O129-N129)/(DATE(YEAR(N129),12,31)-DATE(YEAR(N129),1,1)+1),(DATE(YEAR(N129)+1,1,1)-N129)/(DATE(YEAR(N129),12,31)-DATE(YEAR(N129),1,1)+1)+(O129-DATE(YEAR(O129),1,1))/(DATE(YEAR(O129),12,31)-DATE(YEAR(O129),1,1)+1)))),2)+IF(O129&lt;'Навигатор накоплений'!F23,N('Навигатор накоплений'!G23),0))+0*LEN("P129"))</f>
        <v/>
      </c>
      <c r="Q129" s="45" t="str">
        <f>IF(OR(R128="",R128&gt;='Навигатор накоплений'!F24),"",(R128)+0*LEN("Q129"))</f>
        <v/>
      </c>
      <c r="R129" s="45" t="str">
        <f>IF(Q129="","",(MIN(EDATE(Q129,1),'Навигатор накоплений'!F24))+0*LEN("R129"))</f>
        <v/>
      </c>
      <c r="S129" s="46" t="str">
        <f>IF(R129="","",(ROUND(S128*(1+'Навигатор накоплений'!D24*(IF(YEAR(Q129)=YEAR(R129-1),(R129-Q129)/(DATE(YEAR(Q129),12,31)-DATE(YEAR(Q129),1,1)+1),(DATE(YEAR(Q129)+1,1,1)-Q129)/(DATE(YEAR(Q129),12,31)-DATE(YEAR(Q129),1,1)+1)+(R129-DATE(YEAR(R129),1,1))/(DATE(YEAR(R129),12,31)-DATE(YEAR(R129),1,1)+1)))),2)+IF(R129&lt;'Навигатор накоплений'!F24,N('Навигатор накоплений'!G24),0))+0*LEN("S129"))</f>
        <v/>
      </c>
      <c r="T129" s="45" t="str">
        <f>IF(OR(U128="",U128&gt;='Навигатор накоплений'!F27),"",(U128)+0*LEN("T129"))</f>
        <v/>
      </c>
      <c r="U129" s="45" t="str">
        <f>IF(T129="","",(MIN(EDATE(T129,1),'Навигатор накоплений'!F27))+0*LEN("U129"))</f>
        <v/>
      </c>
      <c r="V129" s="46" t="str">
        <f>IF(U129="","",(ROUND(V128*(1+'Навигатор накоплений'!D27*(IF(YEAR(T129)=YEAR(U129-1),(U129-T129)/(DATE(YEAR(T129),12,31)-DATE(YEAR(T129),1,1)+1),(DATE(YEAR(T129)+1,1,1)-T129)/(DATE(YEAR(T129),12,31)-DATE(YEAR(T129),1,1)+1)+(U129-DATE(YEAR(U129),1,1))/(DATE(YEAR(U129),12,31)-DATE(YEAR(U129),1,1)+1)))),2)+IF(U129&lt;'Навигатор накоплений'!F27,N('Навигатор накоплений'!G27),0))+0*LEN("V129"))</f>
        <v/>
      </c>
    </row>
    <row r="130" spans="1:22" ht="15" x14ac:dyDescent="0.2">
      <c r="A130"/>
      <c r="B130"/>
      <c r="C130"/>
      <c r="D130" t="str">
        <f t="shared" ref="D130:D140" si="45">IF(B130="","",I129)</f>
        <v/>
      </c>
      <c r="E130"/>
      <c r="F130"/>
      <c r="G130" t="str">
        <f t="shared" si="43"/>
        <v/>
      </c>
      <c r="H130"/>
      <c r="I130" t="str">
        <f t="shared" si="44"/>
        <v/>
      </c>
      <c r="K130" s="45" t="str">
        <f>IF(OR(L129="",L129&gt;='Навигатор накоплений'!F22),"",(L129)+0*LEN("K130"))</f>
        <v/>
      </c>
      <c r="L130" s="45" t="str">
        <f>IF(K130="","",(MIN(EDATE(K130,1),'Навигатор накоплений'!F22))+0*LEN("L130"))</f>
        <v/>
      </c>
      <c r="M130" s="46" t="str">
        <f>IF(L130="","",(ROUND(M129*(1+'Навигатор накоплений'!D22*(IF(YEAR(K130)=YEAR(L130-1),(L130-K130)/(DATE(YEAR(K130),12,31)-DATE(YEAR(K130),1,1)+1),(DATE(YEAR(K130)+1,1,1)-K130)/(DATE(YEAR(K130),12,31)-DATE(YEAR(K130),1,1)+1)+(L130-DATE(YEAR(L130),1,1))/(DATE(YEAR(L130),12,31)-DATE(YEAR(L130),1,1)+1)))),2)+IF(L130&lt;'Навигатор накоплений'!F22,N('Навигатор накоплений'!G22),0))+0*LEN("M130"))</f>
        <v/>
      </c>
      <c r="N130" s="45" t="str">
        <f>IF(OR(O129="",O129&gt;='Навигатор накоплений'!F23),"",(O129)+0*LEN("N130"))</f>
        <v/>
      </c>
      <c r="O130" s="45" t="str">
        <f>IF(N130="","",(MIN(EDATE(N130,1),'Навигатор накоплений'!F23))+0*LEN("O130"))</f>
        <v/>
      </c>
      <c r="P130" s="46" t="str">
        <f>IF(O130="","",(ROUND(P129*(1+'Навигатор накоплений'!D23*(IF(YEAR(N130)=YEAR(O130-1),(O130-N130)/(DATE(YEAR(N130),12,31)-DATE(YEAR(N130),1,1)+1),(DATE(YEAR(N130)+1,1,1)-N130)/(DATE(YEAR(N130),12,31)-DATE(YEAR(N130),1,1)+1)+(O130-DATE(YEAR(O130),1,1))/(DATE(YEAR(O130),12,31)-DATE(YEAR(O130),1,1)+1)))),2)+IF(O130&lt;'Навигатор накоплений'!F23,N('Навигатор накоплений'!G23),0))+0*LEN("P130"))</f>
        <v/>
      </c>
      <c r="Q130" s="45" t="str">
        <f>IF(OR(R129="",R129&gt;='Навигатор накоплений'!F24),"",(R129)+0*LEN("Q130"))</f>
        <v/>
      </c>
      <c r="R130" s="45" t="str">
        <f>IF(Q130="","",(MIN(EDATE(Q130,1),'Навигатор накоплений'!F24))+0*LEN("R130"))</f>
        <v/>
      </c>
      <c r="S130" s="46" t="str">
        <f>IF(R130="","",(ROUND(S129*(1+'Навигатор накоплений'!D24*(IF(YEAR(Q130)=YEAR(R130-1),(R130-Q130)/(DATE(YEAR(Q130),12,31)-DATE(YEAR(Q130),1,1)+1),(DATE(YEAR(Q130)+1,1,1)-Q130)/(DATE(YEAR(Q130),12,31)-DATE(YEAR(Q130),1,1)+1)+(R130-DATE(YEAR(R130),1,1))/(DATE(YEAR(R130),12,31)-DATE(YEAR(R130),1,1)+1)))),2)+IF(R130&lt;'Навигатор накоплений'!F24,N('Навигатор накоплений'!G24),0))+0*LEN("S130"))</f>
        <v/>
      </c>
      <c r="T130" s="45" t="str">
        <f>IF(OR(U129="",U129&gt;='Навигатор накоплений'!F27),"",(U129)+0*LEN("T130"))</f>
        <v/>
      </c>
      <c r="U130" s="45" t="str">
        <f>IF(T130="","",(MIN(EDATE(T130,1),'Навигатор накоплений'!F27))+0*LEN("U130"))</f>
        <v/>
      </c>
      <c r="V130" s="46" t="str">
        <f>IF(U130="","",(ROUND(V129*(1+'Навигатор накоплений'!D27*(IF(YEAR(T130)=YEAR(U130-1),(U130-T130)/(DATE(YEAR(T130),12,31)-DATE(YEAR(T130),1,1)+1),(DATE(YEAR(T130)+1,1,1)-T130)/(DATE(YEAR(T130),12,31)-DATE(YEAR(T130),1,1)+1)+(U130-DATE(YEAR(U130),1,1))/(DATE(YEAR(U130),12,31)-DATE(YEAR(U130),1,1)+1)))),2)+IF(U130&lt;'Навигатор накоплений'!F27,N('Навигатор накоплений'!G27),0))+0*LEN("V130"))</f>
        <v/>
      </c>
    </row>
    <row r="131" spans="1:22" ht="15" x14ac:dyDescent="0.2">
      <c r="A131"/>
      <c r="B131"/>
      <c r="C131"/>
      <c r="D131" t="str">
        <f t="shared" si="45"/>
        <v/>
      </c>
      <c r="E131"/>
      <c r="F131"/>
      <c r="G131" t="str">
        <f t="shared" si="43"/>
        <v/>
      </c>
      <c r="H131"/>
      <c r="I131" t="str">
        <f t="shared" si="44"/>
        <v/>
      </c>
      <c r="K131" s="45" t="str">
        <f>IF(OR(L130="",L130&gt;='Навигатор накоплений'!F22),"",(L130)+0*LEN("K131"))</f>
        <v/>
      </c>
      <c r="L131" s="45" t="str">
        <f>IF(K131="","",(MIN(EDATE(K131,1),'Навигатор накоплений'!F22))+0*LEN("L131"))</f>
        <v/>
      </c>
      <c r="M131" s="46" t="str">
        <f>IF(L131="","",(ROUND(M130*(1+'Навигатор накоплений'!D22*(IF(YEAR(K131)=YEAR(L131-1),(L131-K131)/(DATE(YEAR(K131),12,31)-DATE(YEAR(K131),1,1)+1),(DATE(YEAR(K131)+1,1,1)-K131)/(DATE(YEAR(K131),12,31)-DATE(YEAR(K131),1,1)+1)+(L131-DATE(YEAR(L131),1,1))/(DATE(YEAR(L131),12,31)-DATE(YEAR(L131),1,1)+1)))),2)+IF(L131&lt;'Навигатор накоплений'!F22,N('Навигатор накоплений'!G22),0))+0*LEN("M131"))</f>
        <v/>
      </c>
      <c r="N131" s="45" t="str">
        <f>IF(OR(O130="",O130&gt;='Навигатор накоплений'!F23),"",(O130)+0*LEN("N131"))</f>
        <v/>
      </c>
      <c r="O131" s="45" t="str">
        <f>IF(N131="","",(MIN(EDATE(N131,1),'Навигатор накоплений'!F23))+0*LEN("O131"))</f>
        <v/>
      </c>
      <c r="P131" s="46" t="str">
        <f>IF(O131="","",(ROUND(P130*(1+'Навигатор накоплений'!D23*(IF(YEAR(N131)=YEAR(O131-1),(O131-N131)/(DATE(YEAR(N131),12,31)-DATE(YEAR(N131),1,1)+1),(DATE(YEAR(N131)+1,1,1)-N131)/(DATE(YEAR(N131),12,31)-DATE(YEAR(N131),1,1)+1)+(O131-DATE(YEAR(O131),1,1))/(DATE(YEAR(O131),12,31)-DATE(YEAR(O131),1,1)+1)))),2)+IF(O131&lt;'Навигатор накоплений'!F23,N('Навигатор накоплений'!G23),0))+0*LEN("P131"))</f>
        <v/>
      </c>
      <c r="Q131" s="45" t="str">
        <f>IF(OR(R130="",R130&gt;='Навигатор накоплений'!F24),"",(R130)+0*LEN("Q131"))</f>
        <v/>
      </c>
      <c r="R131" s="45" t="str">
        <f>IF(Q131="","",(MIN(EDATE(Q131,1),'Навигатор накоплений'!F24))+0*LEN("R131"))</f>
        <v/>
      </c>
      <c r="S131" s="46" t="str">
        <f>IF(R131="","",(ROUND(S130*(1+'Навигатор накоплений'!D24*(IF(YEAR(Q131)=YEAR(R131-1),(R131-Q131)/(DATE(YEAR(Q131),12,31)-DATE(YEAR(Q131),1,1)+1),(DATE(YEAR(Q131)+1,1,1)-Q131)/(DATE(YEAR(Q131),12,31)-DATE(YEAR(Q131),1,1)+1)+(R131-DATE(YEAR(R131),1,1))/(DATE(YEAR(R131),12,31)-DATE(YEAR(R131),1,1)+1)))),2)+IF(R131&lt;'Навигатор накоплений'!F24,N('Навигатор накоплений'!G24),0))+0*LEN("S131"))</f>
        <v/>
      </c>
      <c r="T131" s="45" t="str">
        <f>IF(OR(U130="",U130&gt;='Навигатор накоплений'!F27),"",(U130)+0*LEN("T131"))</f>
        <v/>
      </c>
      <c r="U131" s="45" t="str">
        <f>IF(T131="","",(MIN(EDATE(T131,1),'Навигатор накоплений'!F27))+0*LEN("U131"))</f>
        <v/>
      </c>
      <c r="V131" s="46" t="str">
        <f>IF(U131="","",(ROUND(V130*(1+'Навигатор накоплений'!D27*(IF(YEAR(T131)=YEAR(U131-1),(U131-T131)/(DATE(YEAR(T131),12,31)-DATE(YEAR(T131),1,1)+1),(DATE(YEAR(T131)+1,1,1)-T131)/(DATE(YEAR(T131),12,31)-DATE(YEAR(T131),1,1)+1)+(U131-DATE(YEAR(U131),1,1))/(DATE(YEAR(U131),12,31)-DATE(YEAR(U131),1,1)+1)))),2)+IF(U131&lt;'Навигатор накоплений'!F27,N('Навигатор накоплений'!G27),0))+0*LEN("V131"))</f>
        <v/>
      </c>
    </row>
    <row r="132" spans="1:22" ht="15" x14ac:dyDescent="0.2">
      <c r="A132"/>
      <c r="B132"/>
      <c r="C132"/>
      <c r="D132" t="str">
        <f t="shared" si="45"/>
        <v/>
      </c>
      <c r="E132"/>
      <c r="F132"/>
      <c r="G132" t="str">
        <f t="shared" si="43"/>
        <v/>
      </c>
      <c r="H132"/>
      <c r="I132" t="str">
        <f t="shared" si="44"/>
        <v/>
      </c>
      <c r="K132" s="45" t="str">
        <f>IF(OR(L131="",L131&gt;='Навигатор накоплений'!F22),"",(L131)+0*LEN("K132"))</f>
        <v/>
      </c>
      <c r="L132" s="45" t="str">
        <f>IF(K132="","",(MIN(EDATE(K132,1),'Навигатор накоплений'!F22))+0*LEN("L132"))</f>
        <v/>
      </c>
      <c r="M132" s="46" t="str">
        <f>IF(L132="","",(ROUND(M131*(1+'Навигатор накоплений'!D22*(IF(YEAR(K132)=YEAR(L132-1),(L132-K132)/(DATE(YEAR(K132),12,31)-DATE(YEAR(K132),1,1)+1),(DATE(YEAR(K132)+1,1,1)-K132)/(DATE(YEAR(K132),12,31)-DATE(YEAR(K132),1,1)+1)+(L132-DATE(YEAR(L132),1,1))/(DATE(YEAR(L132),12,31)-DATE(YEAR(L132),1,1)+1)))),2)+IF(L132&lt;'Навигатор накоплений'!F22,N('Навигатор накоплений'!G22),0))+0*LEN("M132"))</f>
        <v/>
      </c>
      <c r="N132" s="45" t="str">
        <f>IF(OR(O131="",O131&gt;='Навигатор накоплений'!F23),"",(O131)+0*LEN("N132"))</f>
        <v/>
      </c>
      <c r="O132" s="45" t="str">
        <f>IF(N132="","",(MIN(EDATE(N132,1),'Навигатор накоплений'!F23))+0*LEN("O132"))</f>
        <v/>
      </c>
      <c r="P132" s="46" t="str">
        <f>IF(O132="","",(ROUND(P131*(1+'Навигатор накоплений'!D23*(IF(YEAR(N132)=YEAR(O132-1),(O132-N132)/(DATE(YEAR(N132),12,31)-DATE(YEAR(N132),1,1)+1),(DATE(YEAR(N132)+1,1,1)-N132)/(DATE(YEAR(N132),12,31)-DATE(YEAR(N132),1,1)+1)+(O132-DATE(YEAR(O132),1,1))/(DATE(YEAR(O132),12,31)-DATE(YEAR(O132),1,1)+1)))),2)+IF(O132&lt;'Навигатор накоплений'!F23,N('Навигатор накоплений'!G23),0))+0*LEN("P132"))</f>
        <v/>
      </c>
      <c r="Q132" s="45" t="str">
        <f>IF(OR(R131="",R131&gt;='Навигатор накоплений'!F24),"",(R131)+0*LEN("Q132"))</f>
        <v/>
      </c>
      <c r="R132" s="45" t="str">
        <f>IF(Q132="","",(MIN(EDATE(Q132,1),'Навигатор накоплений'!F24))+0*LEN("R132"))</f>
        <v/>
      </c>
      <c r="S132" s="46" t="str">
        <f>IF(R132="","",(ROUND(S131*(1+'Навигатор накоплений'!D24*(IF(YEAR(Q132)=YEAR(R132-1),(R132-Q132)/(DATE(YEAR(Q132),12,31)-DATE(YEAR(Q132),1,1)+1),(DATE(YEAR(Q132)+1,1,1)-Q132)/(DATE(YEAR(Q132),12,31)-DATE(YEAR(Q132),1,1)+1)+(R132-DATE(YEAR(R132),1,1))/(DATE(YEAR(R132),12,31)-DATE(YEAR(R132),1,1)+1)))),2)+IF(R132&lt;'Навигатор накоплений'!F24,N('Навигатор накоплений'!G24),0))+0*LEN("S132"))</f>
        <v/>
      </c>
      <c r="T132" s="45" t="str">
        <f>IF(OR(U131="",U131&gt;='Навигатор накоплений'!F27),"",(U131)+0*LEN("T132"))</f>
        <v/>
      </c>
      <c r="U132" s="45" t="str">
        <f>IF(T132="","",(MIN(EDATE(T132,1),'Навигатор накоплений'!F27))+0*LEN("U132"))</f>
        <v/>
      </c>
      <c r="V132" s="46" t="str">
        <f>IF(U132="","",(ROUND(V131*(1+'Навигатор накоплений'!D27*(IF(YEAR(T132)=YEAR(U132-1),(U132-T132)/(DATE(YEAR(T132),12,31)-DATE(YEAR(T132),1,1)+1),(DATE(YEAR(T132)+1,1,1)-T132)/(DATE(YEAR(T132),12,31)-DATE(YEAR(T132),1,1)+1)+(U132-DATE(YEAR(U132),1,1))/(DATE(YEAR(U132),12,31)-DATE(YEAR(U132),1,1)+1)))),2)+IF(U132&lt;'Навигатор накоплений'!F27,N('Навигатор накоплений'!G27),0))+0*LEN("V132"))</f>
        <v/>
      </c>
    </row>
    <row r="133" spans="1:22" ht="15" x14ac:dyDescent="0.2">
      <c r="A133"/>
      <c r="B133"/>
      <c r="C133"/>
      <c r="D133" t="str">
        <f t="shared" si="45"/>
        <v/>
      </c>
      <c r="E133"/>
      <c r="F133"/>
      <c r="G133" t="str">
        <f t="shared" si="43"/>
        <v/>
      </c>
      <c r="H133"/>
      <c r="I133" t="str">
        <f t="shared" si="44"/>
        <v/>
      </c>
      <c r="K133" s="45" t="str">
        <f>IF(OR(L132="",L132&gt;='Навигатор накоплений'!F22),"",(L132)+0*LEN("K133"))</f>
        <v/>
      </c>
      <c r="L133" s="45" t="str">
        <f>IF(K133="","",(MIN(EDATE(K133,1),'Навигатор накоплений'!F22))+0*LEN("L133"))</f>
        <v/>
      </c>
      <c r="M133" s="46" t="str">
        <f>IF(L133="","",(ROUND(M132*(1+'Навигатор накоплений'!D22*(IF(YEAR(K133)=YEAR(L133-1),(L133-K133)/(DATE(YEAR(K133),12,31)-DATE(YEAR(K133),1,1)+1),(DATE(YEAR(K133)+1,1,1)-K133)/(DATE(YEAR(K133),12,31)-DATE(YEAR(K133),1,1)+1)+(L133-DATE(YEAR(L133),1,1))/(DATE(YEAR(L133),12,31)-DATE(YEAR(L133),1,1)+1)))),2)+IF(L133&lt;'Навигатор накоплений'!F22,N('Навигатор накоплений'!G22),0))+0*LEN("M133"))</f>
        <v/>
      </c>
      <c r="N133" s="45" t="str">
        <f>IF(OR(O132="",O132&gt;='Навигатор накоплений'!F23),"",(O132)+0*LEN("N133"))</f>
        <v/>
      </c>
      <c r="O133" s="45" t="str">
        <f>IF(N133="","",(MIN(EDATE(N133,1),'Навигатор накоплений'!F23))+0*LEN("O133"))</f>
        <v/>
      </c>
      <c r="P133" s="46" t="str">
        <f>IF(O133="","",(ROUND(P132*(1+'Навигатор накоплений'!D23*(IF(YEAR(N133)=YEAR(O133-1),(O133-N133)/(DATE(YEAR(N133),12,31)-DATE(YEAR(N133),1,1)+1),(DATE(YEAR(N133)+1,1,1)-N133)/(DATE(YEAR(N133),12,31)-DATE(YEAR(N133),1,1)+1)+(O133-DATE(YEAR(O133),1,1))/(DATE(YEAR(O133),12,31)-DATE(YEAR(O133),1,1)+1)))),2)+IF(O133&lt;'Навигатор накоплений'!F23,N('Навигатор накоплений'!G23),0))+0*LEN("P133"))</f>
        <v/>
      </c>
      <c r="Q133" s="45" t="str">
        <f>IF(OR(R132="",R132&gt;='Навигатор накоплений'!F24),"",(R132)+0*LEN("Q133"))</f>
        <v/>
      </c>
      <c r="R133" s="45" t="str">
        <f>IF(Q133="","",(MIN(EDATE(Q133,1),'Навигатор накоплений'!F24))+0*LEN("R133"))</f>
        <v/>
      </c>
      <c r="S133" s="46" t="str">
        <f>IF(R133="","",(ROUND(S132*(1+'Навигатор накоплений'!D24*(IF(YEAR(Q133)=YEAR(R133-1),(R133-Q133)/(DATE(YEAR(Q133),12,31)-DATE(YEAR(Q133),1,1)+1),(DATE(YEAR(Q133)+1,1,1)-Q133)/(DATE(YEAR(Q133),12,31)-DATE(YEAR(Q133),1,1)+1)+(R133-DATE(YEAR(R133),1,1))/(DATE(YEAR(R133),12,31)-DATE(YEAR(R133),1,1)+1)))),2)+IF(R133&lt;'Навигатор накоплений'!F24,N('Навигатор накоплений'!G24),0))+0*LEN("S133"))</f>
        <v/>
      </c>
      <c r="T133" s="45" t="str">
        <f>IF(OR(U132="",U132&gt;='Навигатор накоплений'!F27),"",(U132)+0*LEN("T133"))</f>
        <v/>
      </c>
      <c r="U133" s="45" t="str">
        <f>IF(T133="","",(MIN(EDATE(T133,1),'Навигатор накоплений'!F27))+0*LEN("U133"))</f>
        <v/>
      </c>
      <c r="V133" s="46" t="str">
        <f>IF(U133="","",(ROUND(V132*(1+'Навигатор накоплений'!D27*(IF(YEAR(T133)=YEAR(U133-1),(U133-T133)/(DATE(YEAR(T133),12,31)-DATE(YEAR(T133),1,1)+1),(DATE(YEAR(T133)+1,1,1)-T133)/(DATE(YEAR(T133),12,31)-DATE(YEAR(T133),1,1)+1)+(U133-DATE(YEAR(U133),1,1))/(DATE(YEAR(U133),12,31)-DATE(YEAR(U133),1,1)+1)))),2)+IF(U133&lt;'Навигатор накоплений'!F27,N('Навигатор накоплений'!G27),0))+0*LEN("V133"))</f>
        <v/>
      </c>
    </row>
    <row r="134" spans="1:22" ht="15" x14ac:dyDescent="0.2">
      <c r="A134"/>
      <c r="B134"/>
      <c r="C134"/>
      <c r="D134" t="str">
        <f t="shared" si="45"/>
        <v/>
      </c>
      <c r="E134"/>
      <c r="F134"/>
      <c r="G134" t="str">
        <f t="shared" si="43"/>
        <v/>
      </c>
      <c r="H134"/>
      <c r="I134" t="str">
        <f t="shared" si="44"/>
        <v/>
      </c>
      <c r="K134" s="45" t="str">
        <f>IF(OR(L133="",L133&gt;='Навигатор накоплений'!F22),"",(L133)+0*LEN("K134"))</f>
        <v/>
      </c>
      <c r="L134" s="45" t="str">
        <f>IF(K134="","",(MIN(EDATE(K134,1),'Навигатор накоплений'!F22))+0*LEN("L134"))</f>
        <v/>
      </c>
      <c r="M134" s="46" t="str">
        <f>IF(L134="","",(ROUND(M133*(1+'Навигатор накоплений'!D22*(IF(YEAR(K134)=YEAR(L134-1),(L134-K134)/(DATE(YEAR(K134),12,31)-DATE(YEAR(K134),1,1)+1),(DATE(YEAR(K134)+1,1,1)-K134)/(DATE(YEAR(K134),12,31)-DATE(YEAR(K134),1,1)+1)+(L134-DATE(YEAR(L134),1,1))/(DATE(YEAR(L134),12,31)-DATE(YEAR(L134),1,1)+1)))),2)+IF(L134&lt;'Навигатор накоплений'!F22,N('Навигатор накоплений'!G22),0))+0*LEN("M134"))</f>
        <v/>
      </c>
      <c r="N134" s="45" t="str">
        <f>IF(OR(O133="",O133&gt;='Навигатор накоплений'!F23),"",(O133)+0*LEN("N134"))</f>
        <v/>
      </c>
      <c r="O134" s="45" t="str">
        <f>IF(N134="","",(MIN(EDATE(N134,1),'Навигатор накоплений'!F23))+0*LEN("O134"))</f>
        <v/>
      </c>
      <c r="P134" s="46" t="str">
        <f>IF(O134="","",(ROUND(P133*(1+'Навигатор накоплений'!D23*(IF(YEAR(N134)=YEAR(O134-1),(O134-N134)/(DATE(YEAR(N134),12,31)-DATE(YEAR(N134),1,1)+1),(DATE(YEAR(N134)+1,1,1)-N134)/(DATE(YEAR(N134),12,31)-DATE(YEAR(N134),1,1)+1)+(O134-DATE(YEAR(O134),1,1))/(DATE(YEAR(O134),12,31)-DATE(YEAR(O134),1,1)+1)))),2)+IF(O134&lt;'Навигатор накоплений'!F23,N('Навигатор накоплений'!G23),0))+0*LEN("P134"))</f>
        <v/>
      </c>
      <c r="Q134" s="45" t="str">
        <f>IF(OR(R133="",R133&gt;='Навигатор накоплений'!F24),"",(R133)+0*LEN("Q134"))</f>
        <v/>
      </c>
      <c r="R134" s="45" t="str">
        <f>IF(Q134="","",(MIN(EDATE(Q134,1),'Навигатор накоплений'!F24))+0*LEN("R134"))</f>
        <v/>
      </c>
      <c r="S134" s="46" t="str">
        <f>IF(R134="","",(ROUND(S133*(1+'Навигатор накоплений'!D24*(IF(YEAR(Q134)=YEAR(R134-1),(R134-Q134)/(DATE(YEAR(Q134),12,31)-DATE(YEAR(Q134),1,1)+1),(DATE(YEAR(Q134)+1,1,1)-Q134)/(DATE(YEAR(Q134),12,31)-DATE(YEAR(Q134),1,1)+1)+(R134-DATE(YEAR(R134),1,1))/(DATE(YEAR(R134),12,31)-DATE(YEAR(R134),1,1)+1)))),2)+IF(R134&lt;'Навигатор накоплений'!F24,N('Навигатор накоплений'!G24),0))+0*LEN("S134"))</f>
        <v/>
      </c>
      <c r="T134" s="45" t="str">
        <f>IF(OR(U133="",U133&gt;='Навигатор накоплений'!F27),"",(U133)+0*LEN("T134"))</f>
        <v/>
      </c>
      <c r="U134" s="45" t="str">
        <f>IF(T134="","",(MIN(EDATE(T134,1),'Навигатор накоплений'!F27))+0*LEN("U134"))</f>
        <v/>
      </c>
      <c r="V134" s="46" t="str">
        <f>IF(U134="","",(ROUND(V133*(1+'Навигатор накоплений'!D27*(IF(YEAR(T134)=YEAR(U134-1),(U134-T134)/(DATE(YEAR(T134),12,31)-DATE(YEAR(T134),1,1)+1),(DATE(YEAR(T134)+1,1,1)-T134)/(DATE(YEAR(T134),12,31)-DATE(YEAR(T134),1,1)+1)+(U134-DATE(YEAR(U134),1,1))/(DATE(YEAR(U134),12,31)-DATE(YEAR(U134),1,1)+1)))),2)+IF(U134&lt;'Навигатор накоплений'!F27,N('Навигатор накоплений'!G27),0))+0*LEN("V134"))</f>
        <v/>
      </c>
    </row>
    <row r="135" spans="1:22" ht="15" x14ac:dyDescent="0.2">
      <c r="A135"/>
      <c r="B135"/>
      <c r="C135"/>
      <c r="D135" t="str">
        <f t="shared" si="45"/>
        <v/>
      </c>
      <c r="E135"/>
      <c r="F135"/>
      <c r="G135" t="str">
        <f t="shared" si="43"/>
        <v/>
      </c>
      <c r="H135"/>
      <c r="I135" t="str">
        <f t="shared" si="44"/>
        <v/>
      </c>
      <c r="K135" s="45" t="str">
        <f>IF(OR(L134="",L134&gt;='Навигатор накоплений'!F22),"",(L134)+0*LEN("K135"))</f>
        <v/>
      </c>
      <c r="L135" s="45" t="str">
        <f>IF(K135="","",(MIN(EDATE(K135,1),'Навигатор накоплений'!F22))+0*LEN("L135"))</f>
        <v/>
      </c>
      <c r="M135" s="46" t="str">
        <f>IF(L135="","",(ROUND(M134*(1+'Навигатор накоплений'!D22*(IF(YEAR(K135)=YEAR(L135-1),(L135-K135)/(DATE(YEAR(K135),12,31)-DATE(YEAR(K135),1,1)+1),(DATE(YEAR(K135)+1,1,1)-K135)/(DATE(YEAR(K135),12,31)-DATE(YEAR(K135),1,1)+1)+(L135-DATE(YEAR(L135),1,1))/(DATE(YEAR(L135),12,31)-DATE(YEAR(L135),1,1)+1)))),2)+IF(L135&lt;'Навигатор накоплений'!F22,N('Навигатор накоплений'!G22),0))+0*LEN("M135"))</f>
        <v/>
      </c>
      <c r="N135" s="45" t="str">
        <f>IF(OR(O134="",O134&gt;='Навигатор накоплений'!F23),"",(O134)+0*LEN("N135"))</f>
        <v/>
      </c>
      <c r="O135" s="45" t="str">
        <f>IF(N135="","",(MIN(EDATE(N135,1),'Навигатор накоплений'!F23))+0*LEN("O135"))</f>
        <v/>
      </c>
      <c r="P135" s="46" t="str">
        <f>IF(O135="","",(ROUND(P134*(1+'Навигатор накоплений'!D23*(IF(YEAR(N135)=YEAR(O135-1),(O135-N135)/(DATE(YEAR(N135),12,31)-DATE(YEAR(N135),1,1)+1),(DATE(YEAR(N135)+1,1,1)-N135)/(DATE(YEAR(N135),12,31)-DATE(YEAR(N135),1,1)+1)+(O135-DATE(YEAR(O135),1,1))/(DATE(YEAR(O135),12,31)-DATE(YEAR(O135),1,1)+1)))),2)+IF(O135&lt;'Навигатор накоплений'!F23,N('Навигатор накоплений'!G23),0))+0*LEN("P135"))</f>
        <v/>
      </c>
      <c r="Q135" s="45" t="str">
        <f>IF(OR(R134="",R134&gt;='Навигатор накоплений'!F24),"",(R134)+0*LEN("Q135"))</f>
        <v/>
      </c>
      <c r="R135" s="45" t="str">
        <f>IF(Q135="","",(MIN(EDATE(Q135,1),'Навигатор накоплений'!F24))+0*LEN("R135"))</f>
        <v/>
      </c>
      <c r="S135" s="46" t="str">
        <f>IF(R135="","",(ROUND(S134*(1+'Навигатор накоплений'!D24*(IF(YEAR(Q135)=YEAR(R135-1),(R135-Q135)/(DATE(YEAR(Q135),12,31)-DATE(YEAR(Q135),1,1)+1),(DATE(YEAR(Q135)+1,1,1)-Q135)/(DATE(YEAR(Q135),12,31)-DATE(YEAR(Q135),1,1)+1)+(R135-DATE(YEAR(R135),1,1))/(DATE(YEAR(R135),12,31)-DATE(YEAR(R135),1,1)+1)))),2)+IF(R135&lt;'Навигатор накоплений'!F24,N('Навигатор накоплений'!G24),0))+0*LEN("S135"))</f>
        <v/>
      </c>
      <c r="T135" s="45" t="str">
        <f>IF(OR(U134="",U134&gt;='Навигатор накоплений'!F27),"",(U134)+0*LEN("T135"))</f>
        <v/>
      </c>
      <c r="U135" s="45" t="str">
        <f>IF(T135="","",(MIN(EDATE(T135,1),'Навигатор накоплений'!F27))+0*LEN("U135"))</f>
        <v/>
      </c>
      <c r="V135" s="46" t="str">
        <f>IF(U135="","",(ROUND(V134*(1+'Навигатор накоплений'!D27*(IF(YEAR(T135)=YEAR(U135-1),(U135-T135)/(DATE(YEAR(T135),12,31)-DATE(YEAR(T135),1,1)+1),(DATE(YEAR(T135)+1,1,1)-T135)/(DATE(YEAR(T135),12,31)-DATE(YEAR(T135),1,1)+1)+(U135-DATE(YEAR(U135),1,1))/(DATE(YEAR(U135),12,31)-DATE(YEAR(U135),1,1)+1)))),2)+IF(U135&lt;'Навигатор накоплений'!F27,N('Навигатор накоплений'!G27),0))+0*LEN("V135"))</f>
        <v/>
      </c>
    </row>
    <row r="136" spans="1:22" ht="15" x14ac:dyDescent="0.2">
      <c r="A136"/>
      <c r="B136"/>
      <c r="C136"/>
      <c r="D136" t="str">
        <f t="shared" si="45"/>
        <v/>
      </c>
      <c r="E136"/>
      <c r="F136"/>
      <c r="G136" t="str">
        <f t="shared" si="43"/>
        <v/>
      </c>
      <c r="H136"/>
      <c r="I136" t="str">
        <f t="shared" si="44"/>
        <v/>
      </c>
      <c r="K136" s="45" t="str">
        <f>IF(OR(L135="",L135&gt;='Навигатор накоплений'!F22),"",(L135)+0*LEN("K136"))</f>
        <v/>
      </c>
      <c r="L136" s="45" t="str">
        <f>IF(K136="","",(MIN(EDATE(K136,1),'Навигатор накоплений'!F22))+0*LEN("L136"))</f>
        <v/>
      </c>
      <c r="M136" s="46" t="str">
        <f>IF(L136="","",(ROUND(M135*(1+'Навигатор накоплений'!D22*(IF(YEAR(K136)=YEAR(L136-1),(L136-K136)/(DATE(YEAR(K136),12,31)-DATE(YEAR(K136),1,1)+1),(DATE(YEAR(K136)+1,1,1)-K136)/(DATE(YEAR(K136),12,31)-DATE(YEAR(K136),1,1)+1)+(L136-DATE(YEAR(L136),1,1))/(DATE(YEAR(L136),12,31)-DATE(YEAR(L136),1,1)+1)))),2)+IF(L136&lt;'Навигатор накоплений'!F22,N('Навигатор накоплений'!G22),0))+0*LEN("M136"))</f>
        <v/>
      </c>
      <c r="N136" s="45" t="str">
        <f>IF(OR(O135="",O135&gt;='Навигатор накоплений'!F23),"",(O135)+0*LEN("N136"))</f>
        <v/>
      </c>
      <c r="O136" s="45" t="str">
        <f>IF(N136="","",(MIN(EDATE(N136,1),'Навигатор накоплений'!F23))+0*LEN("O136"))</f>
        <v/>
      </c>
      <c r="P136" s="46" t="str">
        <f>IF(O136="","",(ROUND(P135*(1+'Навигатор накоплений'!D23*(IF(YEAR(N136)=YEAR(O136-1),(O136-N136)/(DATE(YEAR(N136),12,31)-DATE(YEAR(N136),1,1)+1),(DATE(YEAR(N136)+1,1,1)-N136)/(DATE(YEAR(N136),12,31)-DATE(YEAR(N136),1,1)+1)+(O136-DATE(YEAR(O136),1,1))/(DATE(YEAR(O136),12,31)-DATE(YEAR(O136),1,1)+1)))),2)+IF(O136&lt;'Навигатор накоплений'!F23,N('Навигатор накоплений'!G23),0))+0*LEN("P136"))</f>
        <v/>
      </c>
      <c r="Q136" s="45" t="str">
        <f>IF(OR(R135="",R135&gt;='Навигатор накоплений'!F24),"",(R135)+0*LEN("Q136"))</f>
        <v/>
      </c>
      <c r="R136" s="45" t="str">
        <f>IF(Q136="","",(MIN(EDATE(Q136,1),'Навигатор накоплений'!F24))+0*LEN("R136"))</f>
        <v/>
      </c>
      <c r="S136" s="46" t="str">
        <f>IF(R136="","",(ROUND(S135*(1+'Навигатор накоплений'!D24*(IF(YEAR(Q136)=YEAR(R136-1),(R136-Q136)/(DATE(YEAR(Q136),12,31)-DATE(YEAR(Q136),1,1)+1),(DATE(YEAR(Q136)+1,1,1)-Q136)/(DATE(YEAR(Q136),12,31)-DATE(YEAR(Q136),1,1)+1)+(R136-DATE(YEAR(R136),1,1))/(DATE(YEAR(R136),12,31)-DATE(YEAR(R136),1,1)+1)))),2)+IF(R136&lt;'Навигатор накоплений'!F24,N('Навигатор накоплений'!G24),0))+0*LEN("S136"))</f>
        <v/>
      </c>
      <c r="T136" s="45" t="str">
        <f>IF(OR(U135="",U135&gt;='Навигатор накоплений'!F27),"",(U135)+0*LEN("T136"))</f>
        <v/>
      </c>
      <c r="U136" s="45" t="str">
        <f>IF(T136="","",(MIN(EDATE(T136,1),'Навигатор накоплений'!F27))+0*LEN("U136"))</f>
        <v/>
      </c>
      <c r="V136" s="46" t="str">
        <f>IF(U136="","",(ROUND(V135*(1+'Навигатор накоплений'!D27*(IF(YEAR(T136)=YEAR(U136-1),(U136-T136)/(DATE(YEAR(T136),12,31)-DATE(YEAR(T136),1,1)+1),(DATE(YEAR(T136)+1,1,1)-T136)/(DATE(YEAR(T136),12,31)-DATE(YEAR(T136),1,1)+1)+(U136-DATE(YEAR(U136),1,1))/(DATE(YEAR(U136),12,31)-DATE(YEAR(U136),1,1)+1)))),2)+IF(U136&lt;'Навигатор накоплений'!F27,N('Навигатор накоплений'!G27),0))+0*LEN("V136"))</f>
        <v/>
      </c>
    </row>
    <row r="137" spans="1:22" ht="15" x14ac:dyDescent="0.2">
      <c r="A137"/>
      <c r="B137"/>
      <c r="C137"/>
      <c r="D137" t="str">
        <f t="shared" si="45"/>
        <v/>
      </c>
      <c r="E137"/>
      <c r="F137"/>
      <c r="G137" t="str">
        <f t="shared" si="43"/>
        <v/>
      </c>
      <c r="H137"/>
      <c r="I137" t="str">
        <f t="shared" si="44"/>
        <v/>
      </c>
      <c r="K137" s="45" t="str">
        <f>IF(OR(L136="",L136&gt;='Навигатор накоплений'!F22),"",(L136)+0*LEN("K137"))</f>
        <v/>
      </c>
      <c r="L137" s="45" t="str">
        <f>IF(K137="","",(MIN(EDATE(K137,1),'Навигатор накоплений'!F22))+0*LEN("L137"))</f>
        <v/>
      </c>
      <c r="M137" s="46" t="str">
        <f>IF(L137="","",(ROUND(M136*(1+'Навигатор накоплений'!D22*(IF(YEAR(K137)=YEAR(L137-1),(L137-K137)/(DATE(YEAR(K137),12,31)-DATE(YEAR(K137),1,1)+1),(DATE(YEAR(K137)+1,1,1)-K137)/(DATE(YEAR(K137),12,31)-DATE(YEAR(K137),1,1)+1)+(L137-DATE(YEAR(L137),1,1))/(DATE(YEAR(L137),12,31)-DATE(YEAR(L137),1,1)+1)))),2)+IF(L137&lt;'Навигатор накоплений'!F22,N('Навигатор накоплений'!G22),0))+0*LEN("M137"))</f>
        <v/>
      </c>
      <c r="N137" s="45" t="str">
        <f>IF(OR(O136="",O136&gt;='Навигатор накоплений'!F23),"",(O136)+0*LEN("N137"))</f>
        <v/>
      </c>
      <c r="O137" s="45" t="str">
        <f>IF(N137="","",(MIN(EDATE(N137,1),'Навигатор накоплений'!F23))+0*LEN("O137"))</f>
        <v/>
      </c>
      <c r="P137" s="46" t="str">
        <f>IF(O137="","",(ROUND(P136*(1+'Навигатор накоплений'!D23*(IF(YEAR(N137)=YEAR(O137-1),(O137-N137)/(DATE(YEAR(N137),12,31)-DATE(YEAR(N137),1,1)+1),(DATE(YEAR(N137)+1,1,1)-N137)/(DATE(YEAR(N137),12,31)-DATE(YEAR(N137),1,1)+1)+(O137-DATE(YEAR(O137),1,1))/(DATE(YEAR(O137),12,31)-DATE(YEAR(O137),1,1)+1)))),2)+IF(O137&lt;'Навигатор накоплений'!F23,N('Навигатор накоплений'!G23),0))+0*LEN("P137"))</f>
        <v/>
      </c>
      <c r="Q137" s="45" t="str">
        <f>IF(OR(R136="",R136&gt;='Навигатор накоплений'!F24),"",(R136)+0*LEN("Q137"))</f>
        <v/>
      </c>
      <c r="R137" s="45" t="str">
        <f>IF(Q137="","",(MIN(EDATE(Q137,1),'Навигатор накоплений'!F24))+0*LEN("R137"))</f>
        <v/>
      </c>
      <c r="S137" s="46" t="str">
        <f>IF(R137="","",(ROUND(S136*(1+'Навигатор накоплений'!D24*(IF(YEAR(Q137)=YEAR(R137-1),(R137-Q137)/(DATE(YEAR(Q137),12,31)-DATE(YEAR(Q137),1,1)+1),(DATE(YEAR(Q137)+1,1,1)-Q137)/(DATE(YEAR(Q137),12,31)-DATE(YEAR(Q137),1,1)+1)+(R137-DATE(YEAR(R137),1,1))/(DATE(YEAR(R137),12,31)-DATE(YEAR(R137),1,1)+1)))),2)+IF(R137&lt;'Навигатор накоплений'!F24,N('Навигатор накоплений'!G24),0))+0*LEN("S137"))</f>
        <v/>
      </c>
      <c r="T137" s="45" t="str">
        <f>IF(OR(U136="",U136&gt;='Навигатор накоплений'!F27),"",(U136)+0*LEN("T137"))</f>
        <v/>
      </c>
      <c r="U137" s="45" t="str">
        <f>IF(T137="","",(MIN(EDATE(T137,1),'Навигатор накоплений'!F27))+0*LEN("U137"))</f>
        <v/>
      </c>
      <c r="V137" s="46" t="str">
        <f>IF(U137="","",(ROUND(V136*(1+'Навигатор накоплений'!D27*(IF(YEAR(T137)=YEAR(U137-1),(U137-T137)/(DATE(YEAR(T137),12,31)-DATE(YEAR(T137),1,1)+1),(DATE(YEAR(T137)+1,1,1)-T137)/(DATE(YEAR(T137),12,31)-DATE(YEAR(T137),1,1)+1)+(U137-DATE(YEAR(U137),1,1))/(DATE(YEAR(U137),12,31)-DATE(YEAR(U137),1,1)+1)))),2)+IF(U137&lt;'Навигатор накоплений'!F27,N('Навигатор накоплений'!G27),0))+0*LEN("V137"))</f>
        <v/>
      </c>
    </row>
    <row r="138" spans="1:22" ht="15" x14ac:dyDescent="0.2">
      <c r="A138"/>
      <c r="B138"/>
      <c r="C138"/>
      <c r="D138" t="str">
        <f t="shared" si="45"/>
        <v/>
      </c>
      <c r="E138"/>
      <c r="F138"/>
      <c r="G138" t="str">
        <f t="shared" si="43"/>
        <v/>
      </c>
      <c r="H138"/>
      <c r="I138" t="str">
        <f t="shared" si="44"/>
        <v/>
      </c>
      <c r="K138" s="45" t="str">
        <f>IF(OR(L137="",L137&gt;='Навигатор накоплений'!F22),"",(L137)+0*LEN("K138"))</f>
        <v/>
      </c>
      <c r="L138" s="45" t="str">
        <f>IF(K138="","",(MIN(EDATE(K138,1),'Навигатор накоплений'!F22))+0*LEN("L138"))</f>
        <v/>
      </c>
      <c r="M138" s="46" t="str">
        <f>IF(L138="","",(ROUND(M137*(1+'Навигатор накоплений'!D22*(IF(YEAR(K138)=YEAR(L138-1),(L138-K138)/(DATE(YEAR(K138),12,31)-DATE(YEAR(K138),1,1)+1),(DATE(YEAR(K138)+1,1,1)-K138)/(DATE(YEAR(K138),12,31)-DATE(YEAR(K138),1,1)+1)+(L138-DATE(YEAR(L138),1,1))/(DATE(YEAR(L138),12,31)-DATE(YEAR(L138),1,1)+1)))),2)+IF(L138&lt;'Навигатор накоплений'!F22,N('Навигатор накоплений'!G22),0))+0*LEN("M138"))</f>
        <v/>
      </c>
      <c r="N138" s="45" t="str">
        <f>IF(OR(O137="",O137&gt;='Навигатор накоплений'!F23),"",(O137)+0*LEN("N138"))</f>
        <v/>
      </c>
      <c r="O138" s="45" t="str">
        <f>IF(N138="","",(MIN(EDATE(N138,1),'Навигатор накоплений'!F23))+0*LEN("O138"))</f>
        <v/>
      </c>
      <c r="P138" s="46" t="str">
        <f>IF(O138="","",(ROUND(P137*(1+'Навигатор накоплений'!D23*(IF(YEAR(N138)=YEAR(O138-1),(O138-N138)/(DATE(YEAR(N138),12,31)-DATE(YEAR(N138),1,1)+1),(DATE(YEAR(N138)+1,1,1)-N138)/(DATE(YEAR(N138),12,31)-DATE(YEAR(N138),1,1)+1)+(O138-DATE(YEAR(O138),1,1))/(DATE(YEAR(O138),12,31)-DATE(YEAR(O138),1,1)+1)))),2)+IF(O138&lt;'Навигатор накоплений'!F23,N('Навигатор накоплений'!G23),0))+0*LEN("P138"))</f>
        <v/>
      </c>
      <c r="Q138" s="45" t="str">
        <f>IF(OR(R137="",R137&gt;='Навигатор накоплений'!F24),"",(R137)+0*LEN("Q138"))</f>
        <v/>
      </c>
      <c r="R138" s="45" t="str">
        <f>IF(Q138="","",(MIN(EDATE(Q138,1),'Навигатор накоплений'!F24))+0*LEN("R138"))</f>
        <v/>
      </c>
      <c r="S138" s="46" t="str">
        <f>IF(R138="","",(ROUND(S137*(1+'Навигатор накоплений'!D24*(IF(YEAR(Q138)=YEAR(R138-1),(R138-Q138)/(DATE(YEAR(Q138),12,31)-DATE(YEAR(Q138),1,1)+1),(DATE(YEAR(Q138)+1,1,1)-Q138)/(DATE(YEAR(Q138),12,31)-DATE(YEAR(Q138),1,1)+1)+(R138-DATE(YEAR(R138),1,1))/(DATE(YEAR(R138),12,31)-DATE(YEAR(R138),1,1)+1)))),2)+IF(R138&lt;'Навигатор накоплений'!F24,N('Навигатор накоплений'!G24),0))+0*LEN("S138"))</f>
        <v/>
      </c>
      <c r="T138" s="45" t="str">
        <f>IF(OR(U137="",U137&gt;='Навигатор накоплений'!F27),"",(U137)+0*LEN("T138"))</f>
        <v/>
      </c>
      <c r="U138" s="45" t="str">
        <f>IF(T138="","",(MIN(EDATE(T138,1),'Навигатор накоплений'!F27))+0*LEN("U138"))</f>
        <v/>
      </c>
      <c r="V138" s="46" t="str">
        <f>IF(U138="","",(ROUND(V137*(1+'Навигатор накоплений'!D27*(IF(YEAR(T138)=YEAR(U138-1),(U138-T138)/(DATE(YEAR(T138),12,31)-DATE(YEAR(T138),1,1)+1),(DATE(YEAR(T138)+1,1,1)-T138)/(DATE(YEAR(T138),12,31)-DATE(YEAR(T138),1,1)+1)+(U138-DATE(YEAR(U138),1,1))/(DATE(YEAR(U138),12,31)-DATE(YEAR(U138),1,1)+1)))),2)+IF(U138&lt;'Навигатор накоплений'!F27,N('Навигатор накоплений'!G27),0))+0*LEN("V138"))</f>
        <v/>
      </c>
    </row>
    <row r="139" spans="1:22" ht="15" x14ac:dyDescent="0.2">
      <c r="A139"/>
      <c r="B139"/>
      <c r="C139"/>
      <c r="D139" t="str">
        <f t="shared" si="45"/>
        <v/>
      </c>
      <c r="E139"/>
      <c r="F139"/>
      <c r="G139" t="str">
        <f t="shared" si="43"/>
        <v/>
      </c>
      <c r="H139"/>
      <c r="I139" t="str">
        <f t="shared" si="44"/>
        <v/>
      </c>
      <c r="K139" s="45" t="str">
        <f>IF(OR(L138="",L138&gt;='Навигатор накоплений'!F22),"",(L138)+0*LEN("K139"))</f>
        <v/>
      </c>
      <c r="L139" s="45" t="str">
        <f>IF(K139="","",(MIN(EDATE(K139,1),'Навигатор накоплений'!F22))+0*LEN("L139"))</f>
        <v/>
      </c>
      <c r="M139" s="46" t="str">
        <f>IF(L139="","",(ROUND(M138*(1+'Навигатор накоплений'!D22*(IF(YEAR(K139)=YEAR(L139-1),(L139-K139)/(DATE(YEAR(K139),12,31)-DATE(YEAR(K139),1,1)+1),(DATE(YEAR(K139)+1,1,1)-K139)/(DATE(YEAR(K139),12,31)-DATE(YEAR(K139),1,1)+1)+(L139-DATE(YEAR(L139),1,1))/(DATE(YEAR(L139),12,31)-DATE(YEAR(L139),1,1)+1)))),2)+IF(L139&lt;'Навигатор накоплений'!F22,N('Навигатор накоплений'!G22),0))+0*LEN("M139"))</f>
        <v/>
      </c>
      <c r="N139" s="45" t="str">
        <f>IF(OR(O138="",O138&gt;='Навигатор накоплений'!F23),"",(O138)+0*LEN("N139"))</f>
        <v/>
      </c>
      <c r="O139" s="45" t="str">
        <f>IF(N139="","",(MIN(EDATE(N139,1),'Навигатор накоплений'!F23))+0*LEN("O139"))</f>
        <v/>
      </c>
      <c r="P139" s="46" t="str">
        <f>IF(O139="","",(ROUND(P138*(1+'Навигатор накоплений'!D23*(IF(YEAR(N139)=YEAR(O139-1),(O139-N139)/(DATE(YEAR(N139),12,31)-DATE(YEAR(N139),1,1)+1),(DATE(YEAR(N139)+1,1,1)-N139)/(DATE(YEAR(N139),12,31)-DATE(YEAR(N139),1,1)+1)+(O139-DATE(YEAR(O139),1,1))/(DATE(YEAR(O139),12,31)-DATE(YEAR(O139),1,1)+1)))),2)+IF(O139&lt;'Навигатор накоплений'!F23,N('Навигатор накоплений'!G23),0))+0*LEN("P139"))</f>
        <v/>
      </c>
      <c r="Q139" s="45" t="str">
        <f>IF(OR(R138="",R138&gt;='Навигатор накоплений'!F24),"",(R138)+0*LEN("Q139"))</f>
        <v/>
      </c>
      <c r="R139" s="45" t="str">
        <f>IF(Q139="","",(MIN(EDATE(Q139,1),'Навигатор накоплений'!F24))+0*LEN("R139"))</f>
        <v/>
      </c>
      <c r="S139" s="46" t="str">
        <f>IF(R139="","",(ROUND(S138*(1+'Навигатор накоплений'!D24*(IF(YEAR(Q139)=YEAR(R139-1),(R139-Q139)/(DATE(YEAR(Q139),12,31)-DATE(YEAR(Q139),1,1)+1),(DATE(YEAR(Q139)+1,1,1)-Q139)/(DATE(YEAR(Q139),12,31)-DATE(YEAR(Q139),1,1)+1)+(R139-DATE(YEAR(R139),1,1))/(DATE(YEAR(R139),12,31)-DATE(YEAR(R139),1,1)+1)))),2)+IF(R139&lt;'Навигатор накоплений'!F24,N('Навигатор накоплений'!G24),0))+0*LEN("S139"))</f>
        <v/>
      </c>
      <c r="T139" s="45" t="str">
        <f>IF(OR(U138="",U138&gt;='Навигатор накоплений'!F27),"",(U138)+0*LEN("T139"))</f>
        <v/>
      </c>
      <c r="U139" s="45" t="str">
        <f>IF(T139="","",(MIN(EDATE(T139,1),'Навигатор накоплений'!F27))+0*LEN("U139"))</f>
        <v/>
      </c>
      <c r="V139" s="46" t="str">
        <f>IF(U139="","",(ROUND(V138*(1+'Навигатор накоплений'!D27*(IF(YEAR(T139)=YEAR(U139-1),(U139-T139)/(DATE(YEAR(T139),12,31)-DATE(YEAR(T139),1,1)+1),(DATE(YEAR(T139)+1,1,1)-T139)/(DATE(YEAR(T139),12,31)-DATE(YEAR(T139),1,1)+1)+(U139-DATE(YEAR(U139),1,1))/(DATE(YEAR(U139),12,31)-DATE(YEAR(U139),1,1)+1)))),2)+IF(U139&lt;'Навигатор накоплений'!F27,N('Навигатор накоплений'!G27),0))+0*LEN("V139"))</f>
        <v/>
      </c>
    </row>
    <row r="140" spans="1:22" ht="15" x14ac:dyDescent="0.2">
      <c r="A140"/>
      <c r="B140"/>
      <c r="C140"/>
      <c r="D140" t="str">
        <f t="shared" si="45"/>
        <v/>
      </c>
      <c r="E140"/>
      <c r="F140"/>
      <c r="G140" t="str">
        <f t="shared" si="43"/>
        <v/>
      </c>
      <c r="H140"/>
      <c r="I140" t="str">
        <f t="shared" si="44"/>
        <v/>
      </c>
      <c r="K140" s="45" t="str">
        <f>IF(OR(L139="",L139&gt;='Навигатор накоплений'!F22),"",(L139)+0*LEN("K140"))</f>
        <v/>
      </c>
      <c r="L140" s="45" t="str">
        <f>IF(K140="","",(MIN(EDATE(K140,1),'Навигатор накоплений'!F22))+0*LEN("L140"))</f>
        <v/>
      </c>
      <c r="M140" s="46" t="str">
        <f>IF(L140="","",(ROUND(M139*(1+'Навигатор накоплений'!D22*(IF(YEAR(K140)=YEAR(L140-1),(L140-K140)/(DATE(YEAR(K140),12,31)-DATE(YEAR(K140),1,1)+1),(DATE(YEAR(K140)+1,1,1)-K140)/(DATE(YEAR(K140),12,31)-DATE(YEAR(K140),1,1)+1)+(L140-DATE(YEAR(L140),1,1))/(DATE(YEAR(L140),12,31)-DATE(YEAR(L140),1,1)+1)))),2)+IF(L140&lt;'Навигатор накоплений'!F22,N('Навигатор накоплений'!G22),0))+0*LEN("M140"))</f>
        <v/>
      </c>
      <c r="N140" s="45" t="str">
        <f>IF(OR(O139="",O139&gt;='Навигатор накоплений'!F23),"",(O139)+0*LEN("N140"))</f>
        <v/>
      </c>
      <c r="O140" s="45" t="str">
        <f>IF(N140="","",(MIN(EDATE(N140,1),'Навигатор накоплений'!F23))+0*LEN("O140"))</f>
        <v/>
      </c>
      <c r="P140" s="46" t="str">
        <f>IF(O140="","",(ROUND(P139*(1+'Навигатор накоплений'!D23*(IF(YEAR(N140)=YEAR(O140-1),(O140-N140)/(DATE(YEAR(N140),12,31)-DATE(YEAR(N140),1,1)+1),(DATE(YEAR(N140)+1,1,1)-N140)/(DATE(YEAR(N140),12,31)-DATE(YEAR(N140),1,1)+1)+(O140-DATE(YEAR(O140),1,1))/(DATE(YEAR(O140),12,31)-DATE(YEAR(O140),1,1)+1)))),2)+IF(O140&lt;'Навигатор накоплений'!F23,N('Навигатор накоплений'!G23),0))+0*LEN("P140"))</f>
        <v/>
      </c>
      <c r="Q140" s="45" t="str">
        <f>IF(OR(R139="",R139&gt;='Навигатор накоплений'!F24),"",(R139)+0*LEN("Q140"))</f>
        <v/>
      </c>
      <c r="R140" s="45" t="str">
        <f>IF(Q140="","",(MIN(EDATE(Q140,1),'Навигатор накоплений'!F24))+0*LEN("R140"))</f>
        <v/>
      </c>
      <c r="S140" s="46" t="str">
        <f>IF(R140="","",(ROUND(S139*(1+'Навигатор накоплений'!D24*(IF(YEAR(Q140)=YEAR(R140-1),(R140-Q140)/(DATE(YEAR(Q140),12,31)-DATE(YEAR(Q140),1,1)+1),(DATE(YEAR(Q140)+1,1,1)-Q140)/(DATE(YEAR(Q140),12,31)-DATE(YEAR(Q140),1,1)+1)+(R140-DATE(YEAR(R140),1,1))/(DATE(YEAR(R140),12,31)-DATE(YEAR(R140),1,1)+1)))),2)+IF(R140&lt;'Навигатор накоплений'!F24,N('Навигатор накоплений'!G24),0))+0*LEN("S140"))</f>
        <v/>
      </c>
      <c r="T140" s="45" t="str">
        <f>IF(OR(U139="",U139&gt;='Навигатор накоплений'!F27),"",(U139)+0*LEN("T140"))</f>
        <v/>
      </c>
      <c r="U140" s="45" t="str">
        <f>IF(T140="","",(MIN(EDATE(T140,1),'Навигатор накоплений'!F27))+0*LEN("U140"))</f>
        <v/>
      </c>
      <c r="V140" s="46" t="str">
        <f>IF(U140="","",(ROUND(V139*(1+'Навигатор накоплений'!D27*(IF(YEAR(T140)=YEAR(U140-1),(U140-T140)/(DATE(YEAR(T140),12,31)-DATE(YEAR(T140),1,1)+1),(DATE(YEAR(T140)+1,1,1)-T140)/(DATE(YEAR(T140),12,31)-DATE(YEAR(T140),1,1)+1)+(U140-DATE(YEAR(U140),1,1))/(DATE(YEAR(U140),12,31)-DATE(YEAR(U140),1,1)+1)))),2)+IF(U140&lt;'Навигатор накоплений'!F27,N('Навигатор накоплений'!G27),0))+0*LEN("V140"))</f>
        <v/>
      </c>
    </row>
    <row r="141" spans="1:22" ht="15" x14ac:dyDescent="0.2">
      <c r="A141"/>
      <c r="B141"/>
      <c r="C141"/>
      <c r="D141"/>
      <c r="E141"/>
      <c r="F141"/>
      <c r="G141"/>
      <c r="H141"/>
      <c r="I141"/>
      <c r="K141" s="45" t="str">
        <f>IF(OR(L140="",L140&gt;='Навигатор накоплений'!F22),"",(L140)+0*LEN("K141"))</f>
        <v/>
      </c>
      <c r="L141" s="45" t="str">
        <f>IF(K141="","",(MIN(EDATE(K141,1),'Навигатор накоплений'!F22))+0*LEN("L141"))</f>
        <v/>
      </c>
      <c r="M141" s="46" t="str">
        <f>IF(L141="","",(ROUND(M140*(1+'Навигатор накоплений'!D22*(IF(YEAR(K141)=YEAR(L141-1),(L141-K141)/(DATE(YEAR(K141),12,31)-DATE(YEAR(K141),1,1)+1),(DATE(YEAR(K141)+1,1,1)-K141)/(DATE(YEAR(K141),12,31)-DATE(YEAR(K141),1,1)+1)+(L141-DATE(YEAR(L141),1,1))/(DATE(YEAR(L141),12,31)-DATE(YEAR(L141),1,1)+1)))),2)+IF(L141&lt;'Навигатор накоплений'!F22,N('Навигатор накоплений'!G22),0))+0*LEN("M141"))</f>
        <v/>
      </c>
      <c r="N141" s="45" t="str">
        <f>IF(OR(O140="",O140&gt;='Навигатор накоплений'!F23),"",(O140)+0*LEN("N141"))</f>
        <v/>
      </c>
      <c r="O141" s="45" t="str">
        <f>IF(N141="","",(MIN(EDATE(N141,1),'Навигатор накоплений'!F23))+0*LEN("O141"))</f>
        <v/>
      </c>
      <c r="P141" s="46" t="str">
        <f>IF(O141="","",(ROUND(P140*(1+'Навигатор накоплений'!D23*(IF(YEAR(N141)=YEAR(O141-1),(O141-N141)/(DATE(YEAR(N141),12,31)-DATE(YEAR(N141),1,1)+1),(DATE(YEAR(N141)+1,1,1)-N141)/(DATE(YEAR(N141),12,31)-DATE(YEAR(N141),1,1)+1)+(O141-DATE(YEAR(O141),1,1))/(DATE(YEAR(O141),12,31)-DATE(YEAR(O141),1,1)+1)))),2)+IF(O141&lt;'Навигатор накоплений'!F23,N('Навигатор накоплений'!G23),0))+0*LEN("P141"))</f>
        <v/>
      </c>
      <c r="Q141" s="45" t="str">
        <f>IF(OR(R140="",R140&gt;='Навигатор накоплений'!F24),"",(R140)+0*LEN("Q141"))</f>
        <v/>
      </c>
      <c r="R141" s="45" t="str">
        <f>IF(Q141="","",(MIN(EDATE(Q141,1),'Навигатор накоплений'!F24))+0*LEN("R141"))</f>
        <v/>
      </c>
      <c r="S141" s="46" t="str">
        <f>IF(R141="","",(ROUND(S140*(1+'Навигатор накоплений'!D24*(IF(YEAR(Q141)=YEAR(R141-1),(R141-Q141)/(DATE(YEAR(Q141),12,31)-DATE(YEAR(Q141),1,1)+1),(DATE(YEAR(Q141)+1,1,1)-Q141)/(DATE(YEAR(Q141),12,31)-DATE(YEAR(Q141),1,1)+1)+(R141-DATE(YEAR(R141),1,1))/(DATE(YEAR(R141),12,31)-DATE(YEAR(R141),1,1)+1)))),2)+IF(R141&lt;'Навигатор накоплений'!F24,N('Навигатор накоплений'!G24),0))+0*LEN("S141"))</f>
        <v/>
      </c>
      <c r="T141" s="45" t="str">
        <f>IF(OR(U140="",U140&gt;='Навигатор накоплений'!F27),"",(U140)+0*LEN("T141"))</f>
        <v/>
      </c>
      <c r="U141" s="45" t="str">
        <f>IF(T141="","",(MIN(EDATE(T141,1),'Навигатор накоплений'!F27))+0*LEN("U141"))</f>
        <v/>
      </c>
      <c r="V141" s="46" t="str">
        <f>IF(U141="","",(ROUND(V140*(1+'Навигатор накоплений'!D27*(IF(YEAR(T141)=YEAR(U141-1),(U141-T141)/(DATE(YEAR(T141),12,31)-DATE(YEAR(T141),1,1)+1),(DATE(YEAR(T141)+1,1,1)-T141)/(DATE(YEAR(T141),12,31)-DATE(YEAR(T141),1,1)+1)+(U141-DATE(YEAR(U141),1,1))/(DATE(YEAR(U141),12,31)-DATE(YEAR(U141),1,1)+1)))),2)+IF(U141&lt;'Навигатор накоплений'!F27,N('Навигатор накоплений'!G27),0))+0*LEN("V141"))</f>
        <v/>
      </c>
    </row>
    <row r="142" spans="1:22" ht="15" x14ac:dyDescent="0.2">
      <c r="K142" s="45" t="str">
        <f>IF(OR(L141="",L141&gt;='Навигатор накоплений'!F22),"",(L141)+0*LEN("K142"))</f>
        <v/>
      </c>
      <c r="L142" s="45" t="str">
        <f>IF(K142="","",(MIN(EDATE(K142,1),'Навигатор накоплений'!F22))+0*LEN("L142"))</f>
        <v/>
      </c>
      <c r="M142" s="46" t="str">
        <f>IF(L142="","",(ROUND(M141*(1+'Навигатор накоплений'!D22*(IF(YEAR(K142)=YEAR(L142-1),(L142-K142)/(DATE(YEAR(K142),12,31)-DATE(YEAR(K142),1,1)+1),(DATE(YEAR(K142)+1,1,1)-K142)/(DATE(YEAR(K142),12,31)-DATE(YEAR(K142),1,1)+1)+(L142-DATE(YEAR(L142),1,1))/(DATE(YEAR(L142),12,31)-DATE(YEAR(L142),1,1)+1)))),2)+IF(L142&lt;'Навигатор накоплений'!F22,N('Навигатор накоплений'!G22),0))+0*LEN("M142"))</f>
        <v/>
      </c>
      <c r="N142" s="45" t="str">
        <f>IF(OR(O141="",O141&gt;='Навигатор накоплений'!F23),"",(O141)+0*LEN("N142"))</f>
        <v/>
      </c>
      <c r="O142" s="45" t="str">
        <f>IF(N142="","",(MIN(EDATE(N142,1),'Навигатор накоплений'!F23))+0*LEN("O142"))</f>
        <v/>
      </c>
      <c r="P142" s="46" t="str">
        <f>IF(O142="","",(ROUND(P141*(1+'Навигатор накоплений'!D23*(IF(YEAR(N142)=YEAR(O142-1),(O142-N142)/(DATE(YEAR(N142),12,31)-DATE(YEAR(N142),1,1)+1),(DATE(YEAR(N142)+1,1,1)-N142)/(DATE(YEAR(N142),12,31)-DATE(YEAR(N142),1,1)+1)+(O142-DATE(YEAR(O142),1,1))/(DATE(YEAR(O142),12,31)-DATE(YEAR(O142),1,1)+1)))),2)+IF(O142&lt;'Навигатор накоплений'!F23,N('Навигатор накоплений'!G23),0))+0*LEN("P142"))</f>
        <v/>
      </c>
      <c r="Q142" s="45" t="str">
        <f>IF(OR(R141="",R141&gt;='Навигатор накоплений'!F24),"",(R141)+0*LEN("Q142"))</f>
        <v/>
      </c>
      <c r="R142" s="45" t="str">
        <f>IF(Q142="","",(MIN(EDATE(Q142,1),'Навигатор накоплений'!F24))+0*LEN("R142"))</f>
        <v/>
      </c>
      <c r="S142" s="46" t="str">
        <f>IF(R142="","",(ROUND(S141*(1+'Навигатор накоплений'!D24*(IF(YEAR(Q142)=YEAR(R142-1),(R142-Q142)/(DATE(YEAR(Q142),12,31)-DATE(YEAR(Q142),1,1)+1),(DATE(YEAR(Q142)+1,1,1)-Q142)/(DATE(YEAR(Q142),12,31)-DATE(YEAR(Q142),1,1)+1)+(R142-DATE(YEAR(R142),1,1))/(DATE(YEAR(R142),12,31)-DATE(YEAR(R142),1,1)+1)))),2)+IF(R142&lt;'Навигатор накоплений'!F24,N('Навигатор накоплений'!G24),0))+0*LEN("S142"))</f>
        <v/>
      </c>
      <c r="T142" s="45" t="str">
        <f>IF(OR(U141="",U141&gt;='Навигатор накоплений'!F27),"",(U141)+0*LEN("T142"))</f>
        <v/>
      </c>
      <c r="U142" s="45" t="str">
        <f>IF(T142="","",(MIN(EDATE(T142,1),'Навигатор накоплений'!F27))+0*LEN("U142"))</f>
        <v/>
      </c>
      <c r="V142" s="46" t="str">
        <f>IF(U142="","",(ROUND(V141*(1+'Навигатор накоплений'!D27*(IF(YEAR(T142)=YEAR(U142-1),(U142-T142)/(DATE(YEAR(T142),12,31)-DATE(YEAR(T142),1,1)+1),(DATE(YEAR(T142)+1,1,1)-T142)/(DATE(YEAR(T142),12,31)-DATE(YEAR(T142),1,1)+1)+(U142-DATE(YEAR(U142),1,1))/(DATE(YEAR(U142),12,31)-DATE(YEAR(U142),1,1)+1)))),2)+IF(U142&lt;'Навигатор накоплений'!F27,N('Навигатор накоплений'!G27),0))+0*LEN("V142"))</f>
        <v/>
      </c>
    </row>
    <row r="143" spans="1:22" ht="15" x14ac:dyDescent="0.2">
      <c r="K143" s="45" t="str">
        <f>IF(OR(L142="",L142&gt;='Навигатор накоплений'!F22),"",(L142)+0*LEN("K143"))</f>
        <v/>
      </c>
      <c r="L143" s="45" t="str">
        <f>IF(K143="","",(MIN(EDATE(K143,1),'Навигатор накоплений'!F22))+0*LEN("L143"))</f>
        <v/>
      </c>
      <c r="M143" s="46" t="str">
        <f>IF(L143="","",(ROUND(M142*(1+'Навигатор накоплений'!D22*(IF(YEAR(K143)=YEAR(L143-1),(L143-K143)/(DATE(YEAR(K143),12,31)-DATE(YEAR(K143),1,1)+1),(DATE(YEAR(K143)+1,1,1)-K143)/(DATE(YEAR(K143),12,31)-DATE(YEAR(K143),1,1)+1)+(L143-DATE(YEAR(L143),1,1))/(DATE(YEAR(L143),12,31)-DATE(YEAR(L143),1,1)+1)))),2)+IF(L143&lt;'Навигатор накоплений'!F22,N('Навигатор накоплений'!G22),0))+0*LEN("M143"))</f>
        <v/>
      </c>
      <c r="N143" s="45" t="str">
        <f>IF(OR(O142="",O142&gt;='Навигатор накоплений'!F23),"",(O142)+0*LEN("N143"))</f>
        <v/>
      </c>
      <c r="O143" s="45" t="str">
        <f>IF(N143="","",(MIN(EDATE(N143,1),'Навигатор накоплений'!F23))+0*LEN("O143"))</f>
        <v/>
      </c>
      <c r="P143" s="46" t="str">
        <f>IF(O143="","",(ROUND(P142*(1+'Навигатор накоплений'!D23*(IF(YEAR(N143)=YEAR(O143-1),(O143-N143)/(DATE(YEAR(N143),12,31)-DATE(YEAR(N143),1,1)+1),(DATE(YEAR(N143)+1,1,1)-N143)/(DATE(YEAR(N143),12,31)-DATE(YEAR(N143),1,1)+1)+(O143-DATE(YEAR(O143),1,1))/(DATE(YEAR(O143),12,31)-DATE(YEAR(O143),1,1)+1)))),2)+IF(O143&lt;'Навигатор накоплений'!F23,N('Навигатор накоплений'!G23),0))+0*LEN("P143"))</f>
        <v/>
      </c>
      <c r="Q143" s="45" t="str">
        <f>IF(OR(R142="",R142&gt;='Навигатор накоплений'!F24),"",(R142)+0*LEN("Q143"))</f>
        <v/>
      </c>
      <c r="R143" s="45" t="str">
        <f>IF(Q143="","",(MIN(EDATE(Q143,1),'Навигатор накоплений'!F24))+0*LEN("R143"))</f>
        <v/>
      </c>
      <c r="S143" s="46" t="str">
        <f>IF(R143="","",(ROUND(S142*(1+'Навигатор накоплений'!D24*(IF(YEAR(Q143)=YEAR(R143-1),(R143-Q143)/(DATE(YEAR(Q143),12,31)-DATE(YEAR(Q143),1,1)+1),(DATE(YEAR(Q143)+1,1,1)-Q143)/(DATE(YEAR(Q143),12,31)-DATE(YEAR(Q143),1,1)+1)+(R143-DATE(YEAR(R143),1,1))/(DATE(YEAR(R143),12,31)-DATE(YEAR(R143),1,1)+1)))),2)+IF(R143&lt;'Навигатор накоплений'!F24,N('Навигатор накоплений'!G24),0))+0*LEN("S143"))</f>
        <v/>
      </c>
      <c r="T143" s="45" t="str">
        <f>IF(OR(U142="",U142&gt;='Навигатор накоплений'!F27),"",(U142)+0*LEN("T143"))</f>
        <v/>
      </c>
      <c r="U143" s="45" t="str">
        <f>IF(T143="","",(MIN(EDATE(T143,1),'Навигатор накоплений'!F27))+0*LEN("U143"))</f>
        <v/>
      </c>
      <c r="V143" s="46" t="str">
        <f>IF(U143="","",(ROUND(V142*(1+'Навигатор накоплений'!D27*(IF(YEAR(T143)=YEAR(U143-1),(U143-T143)/(DATE(YEAR(T143),12,31)-DATE(YEAR(T143),1,1)+1),(DATE(YEAR(T143)+1,1,1)-T143)/(DATE(YEAR(T143),12,31)-DATE(YEAR(T143),1,1)+1)+(U143-DATE(YEAR(U143),1,1))/(DATE(YEAR(U143),12,31)-DATE(YEAR(U143),1,1)+1)))),2)+IF(U143&lt;'Навигатор накоплений'!F27,N('Навигатор накоплений'!G27),0))+0*LEN("V143"))</f>
        <v/>
      </c>
    </row>
    <row r="144" spans="1:22" ht="15" x14ac:dyDescent="0.2">
      <c r="A144"/>
      <c r="B144"/>
      <c r="C144"/>
      <c r="D144"/>
      <c r="E144"/>
      <c r="F144"/>
      <c r="G144"/>
      <c r="H144"/>
      <c r="I144"/>
      <c r="K144" s="45" t="str">
        <f>IF(OR(L143="",L143&gt;='Навигатор накоплений'!F22),"",(L143)+0*LEN("K144"))</f>
        <v/>
      </c>
      <c r="L144" s="45" t="str">
        <f>IF(K144="","",(MIN(EDATE(K144,1),'Навигатор накоплений'!F22))+0*LEN("L144"))</f>
        <v/>
      </c>
      <c r="M144" s="46" t="str">
        <f>IF(L144="","",(ROUND(M143*(1+'Навигатор накоплений'!D22*(IF(YEAR(K144)=YEAR(L144-1),(L144-K144)/(DATE(YEAR(K144),12,31)-DATE(YEAR(K144),1,1)+1),(DATE(YEAR(K144)+1,1,1)-K144)/(DATE(YEAR(K144),12,31)-DATE(YEAR(K144),1,1)+1)+(L144-DATE(YEAR(L144),1,1))/(DATE(YEAR(L144),12,31)-DATE(YEAR(L144),1,1)+1)))),2)+IF(L144&lt;'Навигатор накоплений'!F22,N('Навигатор накоплений'!G22),0))+0*LEN("M144"))</f>
        <v/>
      </c>
      <c r="N144" s="45" t="str">
        <f>IF(OR(O143="",O143&gt;='Навигатор накоплений'!F23),"",(O143)+0*LEN("N144"))</f>
        <v/>
      </c>
      <c r="O144" s="45" t="str">
        <f>IF(N144="","",(MIN(EDATE(N144,1),'Навигатор накоплений'!F23))+0*LEN("O144"))</f>
        <v/>
      </c>
      <c r="P144" s="46" t="str">
        <f>IF(O144="","",(ROUND(P143*(1+'Навигатор накоплений'!D23*(IF(YEAR(N144)=YEAR(O144-1),(O144-N144)/(DATE(YEAR(N144),12,31)-DATE(YEAR(N144),1,1)+1),(DATE(YEAR(N144)+1,1,1)-N144)/(DATE(YEAR(N144),12,31)-DATE(YEAR(N144),1,1)+1)+(O144-DATE(YEAR(O144),1,1))/(DATE(YEAR(O144),12,31)-DATE(YEAR(O144),1,1)+1)))),2)+IF(O144&lt;'Навигатор накоплений'!F23,N('Навигатор накоплений'!G23),0))+0*LEN("P144"))</f>
        <v/>
      </c>
      <c r="Q144" s="45" t="str">
        <f>IF(OR(R143="",R143&gt;='Навигатор накоплений'!F24),"",(R143)+0*LEN("Q144"))</f>
        <v/>
      </c>
      <c r="R144" s="45" t="str">
        <f>IF(Q144="","",(MIN(EDATE(Q144,1),'Навигатор накоплений'!F24))+0*LEN("R144"))</f>
        <v/>
      </c>
      <c r="S144" s="46" t="str">
        <f>IF(R144="","",(ROUND(S143*(1+'Навигатор накоплений'!D24*(IF(YEAR(Q144)=YEAR(R144-1),(R144-Q144)/(DATE(YEAR(Q144),12,31)-DATE(YEAR(Q144),1,1)+1),(DATE(YEAR(Q144)+1,1,1)-Q144)/(DATE(YEAR(Q144),12,31)-DATE(YEAR(Q144),1,1)+1)+(R144-DATE(YEAR(R144),1,1))/(DATE(YEAR(R144),12,31)-DATE(YEAR(R144),1,1)+1)))),2)+IF(R144&lt;'Навигатор накоплений'!F24,N('Навигатор накоплений'!G24),0))+0*LEN("S144"))</f>
        <v/>
      </c>
      <c r="T144" s="45" t="str">
        <f>IF(OR(U143="",U143&gt;='Навигатор накоплений'!F27),"",(U143)+0*LEN("T144"))</f>
        <v/>
      </c>
      <c r="U144" s="45" t="str">
        <f>IF(T144="","",(MIN(EDATE(T144,1),'Навигатор накоплений'!F27))+0*LEN("U144"))</f>
        <v/>
      </c>
      <c r="V144" s="46" t="str">
        <f>IF(U144="","",(ROUND(V143*(1+'Навигатор накоплений'!D27*(IF(YEAR(T144)=YEAR(U144-1),(U144-T144)/(DATE(YEAR(T144),12,31)-DATE(YEAR(T144),1,1)+1),(DATE(YEAR(T144)+1,1,1)-T144)/(DATE(YEAR(T144),12,31)-DATE(YEAR(T144),1,1)+1)+(U144-DATE(YEAR(U144),1,1))/(DATE(YEAR(U144),12,31)-DATE(YEAR(U144),1,1)+1)))),2)+IF(U144&lt;'Навигатор накоплений'!F27,N('Навигатор накоплений'!G27),0))+0*LEN("V144"))</f>
        <v/>
      </c>
    </row>
    <row r="145" spans="1:22" ht="15" x14ac:dyDescent="0.2">
      <c r="A145"/>
      <c r="B145"/>
      <c r="C145"/>
      <c r="D145"/>
      <c r="E145"/>
      <c r="F145"/>
      <c r="G145"/>
      <c r="H145"/>
      <c r="I145"/>
      <c r="K145" s="45" t="str">
        <f>IF(OR(L144="",L144&gt;='Навигатор накоплений'!F22),"",(L144)+0*LEN("K145"))</f>
        <v/>
      </c>
      <c r="L145" s="45" t="str">
        <f>IF(K145="","",(MIN(EDATE(K145,1),'Навигатор накоплений'!F22))+0*LEN("L145"))</f>
        <v/>
      </c>
      <c r="M145" s="46" t="str">
        <f>IF(L145="","",(ROUND(M144*(1+'Навигатор накоплений'!D22*(IF(YEAR(K145)=YEAR(L145-1),(L145-K145)/(DATE(YEAR(K145),12,31)-DATE(YEAR(K145),1,1)+1),(DATE(YEAR(K145)+1,1,1)-K145)/(DATE(YEAR(K145),12,31)-DATE(YEAR(K145),1,1)+1)+(L145-DATE(YEAR(L145),1,1))/(DATE(YEAR(L145),12,31)-DATE(YEAR(L145),1,1)+1)))),2)+IF(L145&lt;'Навигатор накоплений'!F22,N('Навигатор накоплений'!G22),0))+0*LEN("M145"))</f>
        <v/>
      </c>
      <c r="N145" s="45" t="str">
        <f>IF(OR(O144="",O144&gt;='Навигатор накоплений'!F23),"",(O144)+0*LEN("N145"))</f>
        <v/>
      </c>
      <c r="O145" s="45" t="str">
        <f>IF(N145="","",(MIN(EDATE(N145,1),'Навигатор накоплений'!F23))+0*LEN("O145"))</f>
        <v/>
      </c>
      <c r="P145" s="46" t="str">
        <f>IF(O145="","",(ROUND(P144*(1+'Навигатор накоплений'!D23*(IF(YEAR(N145)=YEAR(O145-1),(O145-N145)/(DATE(YEAR(N145),12,31)-DATE(YEAR(N145),1,1)+1),(DATE(YEAR(N145)+1,1,1)-N145)/(DATE(YEAR(N145),12,31)-DATE(YEAR(N145),1,1)+1)+(O145-DATE(YEAR(O145),1,1))/(DATE(YEAR(O145),12,31)-DATE(YEAR(O145),1,1)+1)))),2)+IF(O145&lt;'Навигатор накоплений'!F23,N('Навигатор накоплений'!G23),0))+0*LEN("P145"))</f>
        <v/>
      </c>
      <c r="Q145" s="45" t="str">
        <f>IF(OR(R144="",R144&gt;='Навигатор накоплений'!F24),"",(R144)+0*LEN("Q145"))</f>
        <v/>
      </c>
      <c r="R145" s="45" t="str">
        <f>IF(Q145="","",(MIN(EDATE(Q145,1),'Навигатор накоплений'!F24))+0*LEN("R145"))</f>
        <v/>
      </c>
      <c r="S145" s="46" t="str">
        <f>IF(R145="","",(ROUND(S144*(1+'Навигатор накоплений'!D24*(IF(YEAR(Q145)=YEAR(R145-1),(R145-Q145)/(DATE(YEAR(Q145),12,31)-DATE(YEAR(Q145),1,1)+1),(DATE(YEAR(Q145)+1,1,1)-Q145)/(DATE(YEAR(Q145),12,31)-DATE(YEAR(Q145),1,1)+1)+(R145-DATE(YEAR(R145),1,1))/(DATE(YEAR(R145),12,31)-DATE(YEAR(R145),1,1)+1)))),2)+IF(R145&lt;'Навигатор накоплений'!F24,N('Навигатор накоплений'!G24),0))+0*LEN("S145"))</f>
        <v/>
      </c>
      <c r="T145" s="45" t="str">
        <f>IF(OR(U144="",U144&gt;='Навигатор накоплений'!F27),"",(U144)+0*LEN("T145"))</f>
        <v/>
      </c>
      <c r="U145" s="45" t="str">
        <f>IF(T145="","",(MIN(EDATE(T145,1),'Навигатор накоплений'!F27))+0*LEN("U145"))</f>
        <v/>
      </c>
      <c r="V145" s="46" t="str">
        <f>IF(U145="","",(ROUND(V144*(1+'Навигатор накоплений'!D27*(IF(YEAR(T145)=YEAR(U145-1),(U145-T145)/(DATE(YEAR(T145),12,31)-DATE(YEAR(T145),1,1)+1),(DATE(YEAR(T145)+1,1,1)-T145)/(DATE(YEAR(T145),12,31)-DATE(YEAR(T145),1,1)+1)+(U145-DATE(YEAR(U145),1,1))/(DATE(YEAR(U145),12,31)-DATE(YEAR(U145),1,1)+1)))),2)+IF(U145&lt;'Навигатор накоплений'!F27,N('Навигатор накоплений'!G27),0))+0*LEN("V145"))</f>
        <v/>
      </c>
    </row>
    <row r="146" spans="1:22" ht="15" x14ac:dyDescent="0.2">
      <c r="A146"/>
      <c r="B146"/>
      <c r="C146"/>
      <c r="D146"/>
      <c r="E146"/>
      <c r="F146"/>
      <c r="G146" t="str">
        <f t="shared" ref="G146:G157" si="46">IF(B146="","",C146-B146)</f>
        <v/>
      </c>
      <c r="H146"/>
      <c r="I146" t="str">
        <f t="shared" ref="I146:I157" si="47">IF(B146="","",ROUND(D146+E146+H146,2))</f>
        <v/>
      </c>
      <c r="K146" s="45" t="str">
        <f>IF(OR(L145="",L145&gt;='Навигатор накоплений'!F22),"",(L145)+0*LEN("K146"))</f>
        <v/>
      </c>
      <c r="L146" s="45" t="str">
        <f>IF(K146="","",(MIN(EDATE(K146,1),'Навигатор накоплений'!F22))+0*LEN("L146"))</f>
        <v/>
      </c>
      <c r="M146" s="46" t="str">
        <f>IF(L146="","",(ROUND(M145*(1+'Навигатор накоплений'!D22*(IF(YEAR(K146)=YEAR(L146-1),(L146-K146)/(DATE(YEAR(K146),12,31)-DATE(YEAR(K146),1,1)+1),(DATE(YEAR(K146)+1,1,1)-K146)/(DATE(YEAR(K146),12,31)-DATE(YEAR(K146),1,1)+1)+(L146-DATE(YEAR(L146),1,1))/(DATE(YEAR(L146),12,31)-DATE(YEAR(L146),1,1)+1)))),2)+IF(L146&lt;'Навигатор накоплений'!F22,N('Навигатор накоплений'!G22),0))+0*LEN("M146"))</f>
        <v/>
      </c>
      <c r="N146" s="45" t="str">
        <f>IF(OR(O145="",O145&gt;='Навигатор накоплений'!F23),"",(O145)+0*LEN("N146"))</f>
        <v/>
      </c>
      <c r="O146" s="45" t="str">
        <f>IF(N146="","",(MIN(EDATE(N146,1),'Навигатор накоплений'!F23))+0*LEN("O146"))</f>
        <v/>
      </c>
      <c r="P146" s="46" t="str">
        <f>IF(O146="","",(ROUND(P145*(1+'Навигатор накоплений'!D23*(IF(YEAR(N146)=YEAR(O146-1),(O146-N146)/(DATE(YEAR(N146),12,31)-DATE(YEAR(N146),1,1)+1),(DATE(YEAR(N146)+1,1,1)-N146)/(DATE(YEAR(N146),12,31)-DATE(YEAR(N146),1,1)+1)+(O146-DATE(YEAR(O146),1,1))/(DATE(YEAR(O146),12,31)-DATE(YEAR(O146),1,1)+1)))),2)+IF(O146&lt;'Навигатор накоплений'!F23,N('Навигатор накоплений'!G23),0))+0*LEN("P146"))</f>
        <v/>
      </c>
      <c r="Q146" s="45" t="str">
        <f>IF(OR(R145="",R145&gt;='Навигатор накоплений'!F24),"",(R145)+0*LEN("Q146"))</f>
        <v/>
      </c>
      <c r="R146" s="45" t="str">
        <f>IF(Q146="","",(MIN(EDATE(Q146,1),'Навигатор накоплений'!F24))+0*LEN("R146"))</f>
        <v/>
      </c>
      <c r="S146" s="46" t="str">
        <f>IF(R146="","",(ROUND(S145*(1+'Навигатор накоплений'!D24*(IF(YEAR(Q146)=YEAR(R146-1),(R146-Q146)/(DATE(YEAR(Q146),12,31)-DATE(YEAR(Q146),1,1)+1),(DATE(YEAR(Q146)+1,1,1)-Q146)/(DATE(YEAR(Q146),12,31)-DATE(YEAR(Q146),1,1)+1)+(R146-DATE(YEAR(R146),1,1))/(DATE(YEAR(R146),12,31)-DATE(YEAR(R146),1,1)+1)))),2)+IF(R146&lt;'Навигатор накоплений'!F24,N('Навигатор накоплений'!G24),0))+0*LEN("S146"))</f>
        <v/>
      </c>
      <c r="T146" s="45" t="str">
        <f>IF(OR(U145="",U145&gt;='Навигатор накоплений'!F27),"",(U145)+0*LEN("T146"))</f>
        <v/>
      </c>
      <c r="U146" s="45" t="str">
        <f>IF(T146="","",(MIN(EDATE(T146,1),'Навигатор накоплений'!F27))+0*LEN("U146"))</f>
        <v/>
      </c>
      <c r="V146" s="46" t="str">
        <f>IF(U146="","",(ROUND(V145*(1+'Навигатор накоплений'!D27*(IF(YEAR(T146)=YEAR(U146-1),(U146-T146)/(DATE(YEAR(T146),12,31)-DATE(YEAR(T146),1,1)+1),(DATE(YEAR(T146)+1,1,1)-T146)/(DATE(YEAR(T146),12,31)-DATE(YEAR(T146),1,1)+1)+(U146-DATE(YEAR(U146),1,1))/(DATE(YEAR(U146),12,31)-DATE(YEAR(U146),1,1)+1)))),2)+IF(U146&lt;'Навигатор накоплений'!F27,N('Навигатор накоплений'!G27),0))+0*LEN("V146"))</f>
        <v/>
      </c>
    </row>
    <row r="147" spans="1:22" ht="15" x14ac:dyDescent="0.2">
      <c r="A147"/>
      <c r="B147"/>
      <c r="C147"/>
      <c r="D147" t="str">
        <f t="shared" ref="D147:D157" si="48">IF(B147="","",I146)</f>
        <v/>
      </c>
      <c r="E147"/>
      <c r="F147"/>
      <c r="G147" t="str">
        <f t="shared" si="46"/>
        <v/>
      </c>
      <c r="H147"/>
      <c r="I147" t="str">
        <f t="shared" si="47"/>
        <v/>
      </c>
      <c r="K147" s="45" t="str">
        <f>IF(OR(L146="",L146&gt;='Навигатор накоплений'!F22),"",(L146)+0*LEN("K147"))</f>
        <v/>
      </c>
      <c r="L147" s="45" t="str">
        <f>IF(K147="","",(MIN(EDATE(K147,1),'Навигатор накоплений'!F22))+0*LEN("L147"))</f>
        <v/>
      </c>
      <c r="M147" s="46" t="str">
        <f>IF(L147="","",(ROUND(M146*(1+'Навигатор накоплений'!D22*(IF(YEAR(K147)=YEAR(L147-1),(L147-K147)/(DATE(YEAR(K147),12,31)-DATE(YEAR(K147),1,1)+1),(DATE(YEAR(K147)+1,1,1)-K147)/(DATE(YEAR(K147),12,31)-DATE(YEAR(K147),1,1)+1)+(L147-DATE(YEAR(L147),1,1))/(DATE(YEAR(L147),12,31)-DATE(YEAR(L147),1,1)+1)))),2)+IF(L147&lt;'Навигатор накоплений'!F22,N('Навигатор накоплений'!G22),0))+0*LEN("M147"))</f>
        <v/>
      </c>
      <c r="N147" s="45" t="str">
        <f>IF(OR(O146="",O146&gt;='Навигатор накоплений'!F23),"",(O146)+0*LEN("N147"))</f>
        <v/>
      </c>
      <c r="O147" s="45" t="str">
        <f>IF(N147="","",(MIN(EDATE(N147,1),'Навигатор накоплений'!F23))+0*LEN("O147"))</f>
        <v/>
      </c>
      <c r="P147" s="46" t="str">
        <f>IF(O147="","",(ROUND(P146*(1+'Навигатор накоплений'!D23*(IF(YEAR(N147)=YEAR(O147-1),(O147-N147)/(DATE(YEAR(N147),12,31)-DATE(YEAR(N147),1,1)+1),(DATE(YEAR(N147)+1,1,1)-N147)/(DATE(YEAR(N147),12,31)-DATE(YEAR(N147),1,1)+1)+(O147-DATE(YEAR(O147),1,1))/(DATE(YEAR(O147),12,31)-DATE(YEAR(O147),1,1)+1)))),2)+IF(O147&lt;'Навигатор накоплений'!F23,N('Навигатор накоплений'!G23),0))+0*LEN("P147"))</f>
        <v/>
      </c>
      <c r="Q147" s="45" t="str">
        <f>IF(OR(R146="",R146&gt;='Навигатор накоплений'!F24),"",(R146)+0*LEN("Q147"))</f>
        <v/>
      </c>
      <c r="R147" s="45" t="str">
        <f>IF(Q147="","",(MIN(EDATE(Q147,1),'Навигатор накоплений'!F24))+0*LEN("R147"))</f>
        <v/>
      </c>
      <c r="S147" s="46" t="str">
        <f>IF(R147="","",(ROUND(S146*(1+'Навигатор накоплений'!D24*(IF(YEAR(Q147)=YEAR(R147-1),(R147-Q147)/(DATE(YEAR(Q147),12,31)-DATE(YEAR(Q147),1,1)+1),(DATE(YEAR(Q147)+1,1,1)-Q147)/(DATE(YEAR(Q147),12,31)-DATE(YEAR(Q147),1,1)+1)+(R147-DATE(YEAR(R147),1,1))/(DATE(YEAR(R147),12,31)-DATE(YEAR(R147),1,1)+1)))),2)+IF(R147&lt;'Навигатор накоплений'!F24,N('Навигатор накоплений'!G24),0))+0*LEN("S147"))</f>
        <v/>
      </c>
      <c r="T147" s="45" t="str">
        <f>IF(OR(U146="",U146&gt;='Навигатор накоплений'!F27),"",(U146)+0*LEN("T147"))</f>
        <v/>
      </c>
      <c r="U147" s="45" t="str">
        <f>IF(T147="","",(MIN(EDATE(T147,1),'Навигатор накоплений'!F27))+0*LEN("U147"))</f>
        <v/>
      </c>
      <c r="V147" s="46" t="str">
        <f>IF(U147="","",(ROUND(V146*(1+'Навигатор накоплений'!D27*(IF(YEAR(T147)=YEAR(U147-1),(U147-T147)/(DATE(YEAR(T147),12,31)-DATE(YEAR(T147),1,1)+1),(DATE(YEAR(T147)+1,1,1)-T147)/(DATE(YEAR(T147),12,31)-DATE(YEAR(T147),1,1)+1)+(U147-DATE(YEAR(U147),1,1))/(DATE(YEAR(U147),12,31)-DATE(YEAR(U147),1,1)+1)))),2)+IF(U147&lt;'Навигатор накоплений'!F27,N('Навигатор накоплений'!G27),0))+0*LEN("V147"))</f>
        <v/>
      </c>
    </row>
    <row r="148" spans="1:22" ht="15" x14ac:dyDescent="0.2">
      <c r="A148"/>
      <c r="B148"/>
      <c r="C148"/>
      <c r="D148" t="str">
        <f t="shared" si="48"/>
        <v/>
      </c>
      <c r="E148"/>
      <c r="F148"/>
      <c r="G148" t="str">
        <f t="shared" si="46"/>
        <v/>
      </c>
      <c r="H148"/>
      <c r="I148" t="str">
        <f t="shared" si="47"/>
        <v/>
      </c>
      <c r="K148" s="45" t="str">
        <f>IF(OR(L147="",L147&gt;='Навигатор накоплений'!F22),"",(L147)+0*LEN("K148"))</f>
        <v/>
      </c>
      <c r="L148" s="45" t="str">
        <f>IF(K148="","",(MIN(EDATE(K148,1),'Навигатор накоплений'!F22))+0*LEN("L148"))</f>
        <v/>
      </c>
      <c r="M148" s="46" t="str">
        <f>IF(L148="","",(ROUND(M147*(1+'Навигатор накоплений'!D22*(IF(YEAR(K148)=YEAR(L148-1),(L148-K148)/(DATE(YEAR(K148),12,31)-DATE(YEAR(K148),1,1)+1),(DATE(YEAR(K148)+1,1,1)-K148)/(DATE(YEAR(K148),12,31)-DATE(YEAR(K148),1,1)+1)+(L148-DATE(YEAR(L148),1,1))/(DATE(YEAR(L148),12,31)-DATE(YEAR(L148),1,1)+1)))),2)+IF(L148&lt;'Навигатор накоплений'!F22,N('Навигатор накоплений'!G22),0))+0*LEN("M148"))</f>
        <v/>
      </c>
      <c r="N148" s="45" t="str">
        <f>IF(OR(O147="",O147&gt;='Навигатор накоплений'!F23),"",(O147)+0*LEN("N148"))</f>
        <v/>
      </c>
      <c r="O148" s="45" t="str">
        <f>IF(N148="","",(MIN(EDATE(N148,1),'Навигатор накоплений'!F23))+0*LEN("O148"))</f>
        <v/>
      </c>
      <c r="P148" s="46" t="str">
        <f>IF(O148="","",(ROUND(P147*(1+'Навигатор накоплений'!D23*(IF(YEAR(N148)=YEAR(O148-1),(O148-N148)/(DATE(YEAR(N148),12,31)-DATE(YEAR(N148),1,1)+1),(DATE(YEAR(N148)+1,1,1)-N148)/(DATE(YEAR(N148),12,31)-DATE(YEAR(N148),1,1)+1)+(O148-DATE(YEAR(O148),1,1))/(DATE(YEAR(O148),12,31)-DATE(YEAR(O148),1,1)+1)))),2)+IF(O148&lt;'Навигатор накоплений'!F23,N('Навигатор накоплений'!G23),0))+0*LEN("P148"))</f>
        <v/>
      </c>
      <c r="Q148" s="45" t="str">
        <f>IF(OR(R147="",R147&gt;='Навигатор накоплений'!F24),"",(R147)+0*LEN("Q148"))</f>
        <v/>
      </c>
      <c r="R148" s="45" t="str">
        <f>IF(Q148="","",(MIN(EDATE(Q148,1),'Навигатор накоплений'!F24))+0*LEN("R148"))</f>
        <v/>
      </c>
      <c r="S148" s="46" t="str">
        <f>IF(R148="","",(ROUND(S147*(1+'Навигатор накоплений'!D24*(IF(YEAR(Q148)=YEAR(R148-1),(R148-Q148)/(DATE(YEAR(Q148),12,31)-DATE(YEAR(Q148),1,1)+1),(DATE(YEAR(Q148)+1,1,1)-Q148)/(DATE(YEAR(Q148),12,31)-DATE(YEAR(Q148),1,1)+1)+(R148-DATE(YEAR(R148),1,1))/(DATE(YEAR(R148),12,31)-DATE(YEAR(R148),1,1)+1)))),2)+IF(R148&lt;'Навигатор накоплений'!F24,N('Навигатор накоплений'!G24),0))+0*LEN("S148"))</f>
        <v/>
      </c>
      <c r="T148" s="45" t="str">
        <f>IF(OR(U147="",U147&gt;='Навигатор накоплений'!F27),"",(U147)+0*LEN("T148"))</f>
        <v/>
      </c>
      <c r="U148" s="45" t="str">
        <f>IF(T148="","",(MIN(EDATE(T148,1),'Навигатор накоплений'!F27))+0*LEN("U148"))</f>
        <v/>
      </c>
      <c r="V148" s="46" t="str">
        <f>IF(U148="","",(ROUND(V147*(1+'Навигатор накоплений'!D27*(IF(YEAR(T148)=YEAR(U148-1),(U148-T148)/(DATE(YEAR(T148),12,31)-DATE(YEAR(T148),1,1)+1),(DATE(YEAR(T148)+1,1,1)-T148)/(DATE(YEAR(T148),12,31)-DATE(YEAR(T148),1,1)+1)+(U148-DATE(YEAR(U148),1,1))/(DATE(YEAR(U148),12,31)-DATE(YEAR(U148),1,1)+1)))),2)+IF(U148&lt;'Навигатор накоплений'!F27,N('Навигатор накоплений'!G27),0))+0*LEN("V148"))</f>
        <v/>
      </c>
    </row>
    <row r="149" spans="1:22" ht="15" x14ac:dyDescent="0.2">
      <c r="A149"/>
      <c r="B149"/>
      <c r="C149"/>
      <c r="D149" t="str">
        <f t="shared" si="48"/>
        <v/>
      </c>
      <c r="E149"/>
      <c r="F149"/>
      <c r="G149" t="str">
        <f t="shared" si="46"/>
        <v/>
      </c>
      <c r="H149"/>
      <c r="I149" t="str">
        <f t="shared" si="47"/>
        <v/>
      </c>
      <c r="K149" s="45" t="str">
        <f>IF(OR(L148="",L148&gt;='Навигатор накоплений'!F22),"",(L148)+0*LEN("K149"))</f>
        <v/>
      </c>
      <c r="L149" s="45" t="str">
        <f>IF(K149="","",(MIN(EDATE(K149,1),'Навигатор накоплений'!F22))+0*LEN("L149"))</f>
        <v/>
      </c>
      <c r="M149" s="46" t="str">
        <f>IF(L149="","",(ROUND(M148*(1+'Навигатор накоплений'!D22*(IF(YEAR(K149)=YEAR(L149-1),(L149-K149)/(DATE(YEAR(K149),12,31)-DATE(YEAR(K149),1,1)+1),(DATE(YEAR(K149)+1,1,1)-K149)/(DATE(YEAR(K149),12,31)-DATE(YEAR(K149),1,1)+1)+(L149-DATE(YEAR(L149),1,1))/(DATE(YEAR(L149),12,31)-DATE(YEAR(L149),1,1)+1)))),2)+IF(L149&lt;'Навигатор накоплений'!F22,N('Навигатор накоплений'!G22),0))+0*LEN("M149"))</f>
        <v/>
      </c>
      <c r="N149" s="45" t="str">
        <f>IF(OR(O148="",O148&gt;='Навигатор накоплений'!F23),"",(O148)+0*LEN("N149"))</f>
        <v/>
      </c>
      <c r="O149" s="45" t="str">
        <f>IF(N149="","",(MIN(EDATE(N149,1),'Навигатор накоплений'!F23))+0*LEN("O149"))</f>
        <v/>
      </c>
      <c r="P149" s="46" t="str">
        <f>IF(O149="","",(ROUND(P148*(1+'Навигатор накоплений'!D23*(IF(YEAR(N149)=YEAR(O149-1),(O149-N149)/(DATE(YEAR(N149),12,31)-DATE(YEAR(N149),1,1)+1),(DATE(YEAR(N149)+1,1,1)-N149)/(DATE(YEAR(N149),12,31)-DATE(YEAR(N149),1,1)+1)+(O149-DATE(YEAR(O149),1,1))/(DATE(YEAR(O149),12,31)-DATE(YEAR(O149),1,1)+1)))),2)+IF(O149&lt;'Навигатор накоплений'!F23,N('Навигатор накоплений'!G23),0))+0*LEN("P149"))</f>
        <v/>
      </c>
      <c r="Q149" s="45" t="str">
        <f>IF(OR(R148="",R148&gt;='Навигатор накоплений'!F24),"",(R148)+0*LEN("Q149"))</f>
        <v/>
      </c>
      <c r="R149" s="45" t="str">
        <f>IF(Q149="","",(MIN(EDATE(Q149,1),'Навигатор накоплений'!F24))+0*LEN("R149"))</f>
        <v/>
      </c>
      <c r="S149" s="46" t="str">
        <f>IF(R149="","",(ROUND(S148*(1+'Навигатор накоплений'!D24*(IF(YEAR(Q149)=YEAR(R149-1),(R149-Q149)/(DATE(YEAR(Q149),12,31)-DATE(YEAR(Q149),1,1)+1),(DATE(YEAR(Q149)+1,1,1)-Q149)/(DATE(YEAR(Q149),12,31)-DATE(YEAR(Q149),1,1)+1)+(R149-DATE(YEAR(R149),1,1))/(DATE(YEAR(R149),12,31)-DATE(YEAR(R149),1,1)+1)))),2)+IF(R149&lt;'Навигатор накоплений'!F24,N('Навигатор накоплений'!G24),0))+0*LEN("S149"))</f>
        <v/>
      </c>
      <c r="T149" s="45" t="str">
        <f>IF(OR(U148="",U148&gt;='Навигатор накоплений'!F27),"",(U148)+0*LEN("T149"))</f>
        <v/>
      </c>
      <c r="U149" s="45" t="str">
        <f>IF(T149="","",(MIN(EDATE(T149,1),'Навигатор накоплений'!F27))+0*LEN("U149"))</f>
        <v/>
      </c>
      <c r="V149" s="46" t="str">
        <f>IF(U149="","",(ROUND(V148*(1+'Навигатор накоплений'!D27*(IF(YEAR(T149)=YEAR(U149-1),(U149-T149)/(DATE(YEAR(T149),12,31)-DATE(YEAR(T149),1,1)+1),(DATE(YEAR(T149)+1,1,1)-T149)/(DATE(YEAR(T149),12,31)-DATE(YEAR(T149),1,1)+1)+(U149-DATE(YEAR(U149),1,1))/(DATE(YEAR(U149),12,31)-DATE(YEAR(U149),1,1)+1)))),2)+IF(U149&lt;'Навигатор накоплений'!F27,N('Навигатор накоплений'!G27),0))+0*LEN("V149"))</f>
        <v/>
      </c>
    </row>
    <row r="150" spans="1:22" ht="15" x14ac:dyDescent="0.2">
      <c r="A150"/>
      <c r="B150"/>
      <c r="C150"/>
      <c r="D150" t="str">
        <f t="shared" si="48"/>
        <v/>
      </c>
      <c r="E150"/>
      <c r="F150"/>
      <c r="G150" t="str">
        <f t="shared" si="46"/>
        <v/>
      </c>
      <c r="H150"/>
      <c r="I150" t="str">
        <f t="shared" si="47"/>
        <v/>
      </c>
      <c r="K150" s="45" t="str">
        <f>IF(OR(L149="",L149&gt;='Навигатор накоплений'!F22),"",(L149)+0*LEN("K150"))</f>
        <v/>
      </c>
      <c r="L150" s="45" t="str">
        <f>IF(K150="","",(MIN(EDATE(K150,1),'Навигатор накоплений'!F22))+0*LEN("L150"))</f>
        <v/>
      </c>
      <c r="M150" s="46" t="str">
        <f>IF(L150="","",(ROUND(M149*(1+'Навигатор накоплений'!D22*(IF(YEAR(K150)=YEAR(L150-1),(L150-K150)/(DATE(YEAR(K150),12,31)-DATE(YEAR(K150),1,1)+1),(DATE(YEAR(K150)+1,1,1)-K150)/(DATE(YEAR(K150),12,31)-DATE(YEAR(K150),1,1)+1)+(L150-DATE(YEAR(L150),1,1))/(DATE(YEAR(L150),12,31)-DATE(YEAR(L150),1,1)+1)))),2)+IF(L150&lt;'Навигатор накоплений'!F22,N('Навигатор накоплений'!G22),0))+0*LEN("M150"))</f>
        <v/>
      </c>
      <c r="N150" s="45" t="str">
        <f>IF(OR(O149="",O149&gt;='Навигатор накоплений'!F23),"",(O149)+0*LEN("N150"))</f>
        <v/>
      </c>
      <c r="O150" s="45" t="str">
        <f>IF(N150="","",(MIN(EDATE(N150,1),'Навигатор накоплений'!F23))+0*LEN("O150"))</f>
        <v/>
      </c>
      <c r="P150" s="46" t="str">
        <f>IF(O150="","",(ROUND(P149*(1+'Навигатор накоплений'!D23*(IF(YEAR(N150)=YEAR(O150-1),(O150-N150)/(DATE(YEAR(N150),12,31)-DATE(YEAR(N150),1,1)+1),(DATE(YEAR(N150)+1,1,1)-N150)/(DATE(YEAR(N150),12,31)-DATE(YEAR(N150),1,1)+1)+(O150-DATE(YEAR(O150),1,1))/(DATE(YEAR(O150),12,31)-DATE(YEAR(O150),1,1)+1)))),2)+IF(O150&lt;'Навигатор накоплений'!F23,N('Навигатор накоплений'!G23),0))+0*LEN("P150"))</f>
        <v/>
      </c>
      <c r="Q150" s="45" t="str">
        <f>IF(OR(R149="",R149&gt;='Навигатор накоплений'!F24),"",(R149)+0*LEN("Q150"))</f>
        <v/>
      </c>
      <c r="R150" s="45" t="str">
        <f>IF(Q150="","",(MIN(EDATE(Q150,1),'Навигатор накоплений'!F24))+0*LEN("R150"))</f>
        <v/>
      </c>
      <c r="S150" s="46" t="str">
        <f>IF(R150="","",(ROUND(S149*(1+'Навигатор накоплений'!D24*(IF(YEAR(Q150)=YEAR(R150-1),(R150-Q150)/(DATE(YEAR(Q150),12,31)-DATE(YEAR(Q150),1,1)+1),(DATE(YEAR(Q150)+1,1,1)-Q150)/(DATE(YEAR(Q150),12,31)-DATE(YEAR(Q150),1,1)+1)+(R150-DATE(YEAR(R150),1,1))/(DATE(YEAR(R150),12,31)-DATE(YEAR(R150),1,1)+1)))),2)+IF(R150&lt;'Навигатор накоплений'!F24,N('Навигатор накоплений'!G24),0))+0*LEN("S150"))</f>
        <v/>
      </c>
      <c r="T150" s="45" t="str">
        <f>IF(OR(U149="",U149&gt;='Навигатор накоплений'!F27),"",(U149)+0*LEN("T150"))</f>
        <v/>
      </c>
      <c r="U150" s="45" t="str">
        <f>IF(T150="","",(MIN(EDATE(T150,1),'Навигатор накоплений'!F27))+0*LEN("U150"))</f>
        <v/>
      </c>
      <c r="V150" s="46" t="str">
        <f>IF(U150="","",(ROUND(V149*(1+'Навигатор накоплений'!D27*(IF(YEAR(T150)=YEAR(U150-1),(U150-T150)/(DATE(YEAR(T150),12,31)-DATE(YEAR(T150),1,1)+1),(DATE(YEAR(T150)+1,1,1)-T150)/(DATE(YEAR(T150),12,31)-DATE(YEAR(T150),1,1)+1)+(U150-DATE(YEAR(U150),1,1))/(DATE(YEAR(U150),12,31)-DATE(YEAR(U150),1,1)+1)))),2)+IF(U150&lt;'Навигатор накоплений'!F27,N('Навигатор накоплений'!G27),0))+0*LEN("V150"))</f>
        <v/>
      </c>
    </row>
    <row r="151" spans="1:22" ht="15" x14ac:dyDescent="0.2">
      <c r="A151"/>
      <c r="B151"/>
      <c r="C151"/>
      <c r="D151" t="str">
        <f t="shared" si="48"/>
        <v/>
      </c>
      <c r="E151"/>
      <c r="F151"/>
      <c r="G151" t="str">
        <f t="shared" si="46"/>
        <v/>
      </c>
      <c r="H151"/>
      <c r="I151" t="str">
        <f t="shared" si="47"/>
        <v/>
      </c>
      <c r="K151" s="45" t="str">
        <f>IF(OR(L150="",L150&gt;='Навигатор накоплений'!F22),"",(L150)+0*LEN("K151"))</f>
        <v/>
      </c>
      <c r="L151" s="45" t="str">
        <f>IF(K151="","",(MIN(EDATE(K151,1),'Навигатор накоплений'!F22))+0*LEN("L151"))</f>
        <v/>
      </c>
      <c r="M151" s="46" t="str">
        <f>IF(L151="","",(ROUND(M150*(1+'Навигатор накоплений'!D22*(IF(YEAR(K151)=YEAR(L151-1),(L151-K151)/(DATE(YEAR(K151),12,31)-DATE(YEAR(K151),1,1)+1),(DATE(YEAR(K151)+1,1,1)-K151)/(DATE(YEAR(K151),12,31)-DATE(YEAR(K151),1,1)+1)+(L151-DATE(YEAR(L151),1,1))/(DATE(YEAR(L151),12,31)-DATE(YEAR(L151),1,1)+1)))),2)+IF(L151&lt;'Навигатор накоплений'!F22,N('Навигатор накоплений'!G22),0))+0*LEN("M151"))</f>
        <v/>
      </c>
      <c r="N151" s="45" t="str">
        <f>IF(OR(O150="",O150&gt;='Навигатор накоплений'!F23),"",(O150)+0*LEN("N151"))</f>
        <v/>
      </c>
      <c r="O151" s="45" t="str">
        <f>IF(N151="","",(MIN(EDATE(N151,1),'Навигатор накоплений'!F23))+0*LEN("O151"))</f>
        <v/>
      </c>
      <c r="P151" s="46" t="str">
        <f>IF(O151="","",(ROUND(P150*(1+'Навигатор накоплений'!D23*(IF(YEAR(N151)=YEAR(O151-1),(O151-N151)/(DATE(YEAR(N151),12,31)-DATE(YEAR(N151),1,1)+1),(DATE(YEAR(N151)+1,1,1)-N151)/(DATE(YEAR(N151),12,31)-DATE(YEAR(N151),1,1)+1)+(O151-DATE(YEAR(O151),1,1))/(DATE(YEAR(O151),12,31)-DATE(YEAR(O151),1,1)+1)))),2)+IF(O151&lt;'Навигатор накоплений'!F23,N('Навигатор накоплений'!G23),0))+0*LEN("P151"))</f>
        <v/>
      </c>
      <c r="Q151" s="45" t="str">
        <f>IF(OR(R150="",R150&gt;='Навигатор накоплений'!F24),"",(R150)+0*LEN("Q151"))</f>
        <v/>
      </c>
      <c r="R151" s="45" t="str">
        <f>IF(Q151="","",(MIN(EDATE(Q151,1),'Навигатор накоплений'!F24))+0*LEN("R151"))</f>
        <v/>
      </c>
      <c r="S151" s="46" t="str">
        <f>IF(R151="","",(ROUND(S150*(1+'Навигатор накоплений'!D24*(IF(YEAR(Q151)=YEAR(R151-1),(R151-Q151)/(DATE(YEAR(Q151),12,31)-DATE(YEAR(Q151),1,1)+1),(DATE(YEAR(Q151)+1,1,1)-Q151)/(DATE(YEAR(Q151),12,31)-DATE(YEAR(Q151),1,1)+1)+(R151-DATE(YEAR(R151),1,1))/(DATE(YEAR(R151),12,31)-DATE(YEAR(R151),1,1)+1)))),2)+IF(R151&lt;'Навигатор накоплений'!F24,N('Навигатор накоплений'!G24),0))+0*LEN("S151"))</f>
        <v/>
      </c>
      <c r="T151" s="45" t="str">
        <f>IF(OR(U150="",U150&gt;='Навигатор накоплений'!F27),"",(U150)+0*LEN("T151"))</f>
        <v/>
      </c>
      <c r="U151" s="45" t="str">
        <f>IF(T151="","",(MIN(EDATE(T151,1),'Навигатор накоплений'!F27))+0*LEN("U151"))</f>
        <v/>
      </c>
      <c r="V151" s="46" t="str">
        <f>IF(U151="","",(ROUND(V150*(1+'Навигатор накоплений'!D27*(IF(YEAR(T151)=YEAR(U151-1),(U151-T151)/(DATE(YEAR(T151),12,31)-DATE(YEAR(T151),1,1)+1),(DATE(YEAR(T151)+1,1,1)-T151)/(DATE(YEAR(T151),12,31)-DATE(YEAR(T151),1,1)+1)+(U151-DATE(YEAR(U151),1,1))/(DATE(YEAR(U151),12,31)-DATE(YEAR(U151),1,1)+1)))),2)+IF(U151&lt;'Навигатор накоплений'!F27,N('Навигатор накоплений'!G27),0))+0*LEN("V151"))</f>
        <v/>
      </c>
    </row>
    <row r="152" spans="1:22" ht="15" x14ac:dyDescent="0.2">
      <c r="A152"/>
      <c r="B152"/>
      <c r="C152"/>
      <c r="D152" t="str">
        <f t="shared" si="48"/>
        <v/>
      </c>
      <c r="E152"/>
      <c r="F152"/>
      <c r="G152" t="str">
        <f t="shared" si="46"/>
        <v/>
      </c>
      <c r="H152"/>
      <c r="I152" t="str">
        <f t="shared" si="47"/>
        <v/>
      </c>
      <c r="K152" s="45" t="str">
        <f>IF(OR(L151="",L151&gt;='Навигатор накоплений'!F22),"",(L151)+0*LEN("K152"))</f>
        <v/>
      </c>
      <c r="L152" s="45" t="str">
        <f>IF(K152="","",(MIN(EDATE(K152,1),'Навигатор накоплений'!F22))+0*LEN("L152"))</f>
        <v/>
      </c>
      <c r="M152" s="46" t="str">
        <f>IF(L152="","",(ROUND(M151*(1+'Навигатор накоплений'!D22*(IF(YEAR(K152)=YEAR(L152-1),(L152-K152)/(DATE(YEAR(K152),12,31)-DATE(YEAR(K152),1,1)+1),(DATE(YEAR(K152)+1,1,1)-K152)/(DATE(YEAR(K152),12,31)-DATE(YEAR(K152),1,1)+1)+(L152-DATE(YEAR(L152),1,1))/(DATE(YEAR(L152),12,31)-DATE(YEAR(L152),1,1)+1)))),2)+IF(L152&lt;'Навигатор накоплений'!F22,N('Навигатор накоплений'!G22),0))+0*LEN("M152"))</f>
        <v/>
      </c>
      <c r="N152" s="45" t="str">
        <f>IF(OR(O151="",O151&gt;='Навигатор накоплений'!F23),"",(O151)+0*LEN("N152"))</f>
        <v/>
      </c>
      <c r="O152" s="45" t="str">
        <f>IF(N152="","",(MIN(EDATE(N152,1),'Навигатор накоплений'!F23))+0*LEN("O152"))</f>
        <v/>
      </c>
      <c r="P152" s="46" t="str">
        <f>IF(O152="","",(ROUND(P151*(1+'Навигатор накоплений'!D23*(IF(YEAR(N152)=YEAR(O152-1),(O152-N152)/(DATE(YEAR(N152),12,31)-DATE(YEAR(N152),1,1)+1),(DATE(YEAR(N152)+1,1,1)-N152)/(DATE(YEAR(N152),12,31)-DATE(YEAR(N152),1,1)+1)+(O152-DATE(YEAR(O152),1,1))/(DATE(YEAR(O152),12,31)-DATE(YEAR(O152),1,1)+1)))),2)+IF(O152&lt;'Навигатор накоплений'!F23,N('Навигатор накоплений'!G23),0))+0*LEN("P152"))</f>
        <v/>
      </c>
      <c r="Q152" s="45" t="str">
        <f>IF(OR(R151="",R151&gt;='Навигатор накоплений'!F24),"",(R151)+0*LEN("Q152"))</f>
        <v/>
      </c>
      <c r="R152" s="45" t="str">
        <f>IF(Q152="","",(MIN(EDATE(Q152,1),'Навигатор накоплений'!F24))+0*LEN("R152"))</f>
        <v/>
      </c>
      <c r="S152" s="46" t="str">
        <f>IF(R152="","",(ROUND(S151*(1+'Навигатор накоплений'!D24*(IF(YEAR(Q152)=YEAR(R152-1),(R152-Q152)/(DATE(YEAR(Q152),12,31)-DATE(YEAR(Q152),1,1)+1),(DATE(YEAR(Q152)+1,1,1)-Q152)/(DATE(YEAR(Q152),12,31)-DATE(YEAR(Q152),1,1)+1)+(R152-DATE(YEAR(R152),1,1))/(DATE(YEAR(R152),12,31)-DATE(YEAR(R152),1,1)+1)))),2)+IF(R152&lt;'Навигатор накоплений'!F24,N('Навигатор накоплений'!G24),0))+0*LEN("S152"))</f>
        <v/>
      </c>
      <c r="T152" s="45" t="str">
        <f>IF(OR(U151="",U151&gt;='Навигатор накоплений'!F27),"",(U151)+0*LEN("T152"))</f>
        <v/>
      </c>
      <c r="U152" s="45" t="str">
        <f>IF(T152="","",(MIN(EDATE(T152,1),'Навигатор накоплений'!F27))+0*LEN("U152"))</f>
        <v/>
      </c>
      <c r="V152" s="46" t="str">
        <f>IF(U152="","",(ROUND(V151*(1+'Навигатор накоплений'!D27*(IF(YEAR(T152)=YEAR(U152-1),(U152-T152)/(DATE(YEAR(T152),12,31)-DATE(YEAR(T152),1,1)+1),(DATE(YEAR(T152)+1,1,1)-T152)/(DATE(YEAR(T152),12,31)-DATE(YEAR(T152),1,1)+1)+(U152-DATE(YEAR(U152),1,1))/(DATE(YEAR(U152),12,31)-DATE(YEAR(U152),1,1)+1)))),2)+IF(U152&lt;'Навигатор накоплений'!F27,N('Навигатор накоплений'!G27),0))+0*LEN("V152"))</f>
        <v/>
      </c>
    </row>
    <row r="153" spans="1:22" ht="15" x14ac:dyDescent="0.2">
      <c r="A153"/>
      <c r="B153"/>
      <c r="C153"/>
      <c r="D153" t="str">
        <f t="shared" si="48"/>
        <v/>
      </c>
      <c r="E153"/>
      <c r="F153"/>
      <c r="G153" t="str">
        <f t="shared" si="46"/>
        <v/>
      </c>
      <c r="H153"/>
      <c r="I153" t="str">
        <f t="shared" si="47"/>
        <v/>
      </c>
      <c r="K153" s="45" t="str">
        <f>IF(OR(L152="",L152&gt;='Навигатор накоплений'!F22),"",(L152)+0*LEN("K153"))</f>
        <v/>
      </c>
      <c r="L153" s="45" t="str">
        <f>IF(K153="","",(MIN(EDATE(K153,1),'Навигатор накоплений'!F22))+0*LEN("L153"))</f>
        <v/>
      </c>
      <c r="M153" s="46" t="str">
        <f>IF(L153="","",(ROUND(M152*(1+'Навигатор накоплений'!D22*(IF(YEAR(K153)=YEAR(L153-1),(L153-K153)/(DATE(YEAR(K153),12,31)-DATE(YEAR(K153),1,1)+1),(DATE(YEAR(K153)+1,1,1)-K153)/(DATE(YEAR(K153),12,31)-DATE(YEAR(K153),1,1)+1)+(L153-DATE(YEAR(L153),1,1))/(DATE(YEAR(L153),12,31)-DATE(YEAR(L153),1,1)+1)))),2)+IF(L153&lt;'Навигатор накоплений'!F22,N('Навигатор накоплений'!G22),0))+0*LEN("M153"))</f>
        <v/>
      </c>
      <c r="N153" s="45" t="str">
        <f>IF(OR(O152="",O152&gt;='Навигатор накоплений'!F23),"",(O152)+0*LEN("N153"))</f>
        <v/>
      </c>
      <c r="O153" s="45" t="str">
        <f>IF(N153="","",(MIN(EDATE(N153,1),'Навигатор накоплений'!F23))+0*LEN("O153"))</f>
        <v/>
      </c>
      <c r="P153" s="46" t="str">
        <f>IF(O153="","",(ROUND(P152*(1+'Навигатор накоплений'!D23*(IF(YEAR(N153)=YEAR(O153-1),(O153-N153)/(DATE(YEAR(N153),12,31)-DATE(YEAR(N153),1,1)+1),(DATE(YEAR(N153)+1,1,1)-N153)/(DATE(YEAR(N153),12,31)-DATE(YEAR(N153),1,1)+1)+(O153-DATE(YEAR(O153),1,1))/(DATE(YEAR(O153),12,31)-DATE(YEAR(O153),1,1)+1)))),2)+IF(O153&lt;'Навигатор накоплений'!F23,N('Навигатор накоплений'!G23),0))+0*LEN("P153"))</f>
        <v/>
      </c>
      <c r="Q153" s="45" t="str">
        <f>IF(OR(R152="",R152&gt;='Навигатор накоплений'!F24),"",(R152)+0*LEN("Q153"))</f>
        <v/>
      </c>
      <c r="R153" s="45" t="str">
        <f>IF(Q153="","",(MIN(EDATE(Q153,1),'Навигатор накоплений'!F24))+0*LEN("R153"))</f>
        <v/>
      </c>
      <c r="S153" s="46" t="str">
        <f>IF(R153="","",(ROUND(S152*(1+'Навигатор накоплений'!D24*(IF(YEAR(Q153)=YEAR(R153-1),(R153-Q153)/(DATE(YEAR(Q153),12,31)-DATE(YEAR(Q153),1,1)+1),(DATE(YEAR(Q153)+1,1,1)-Q153)/(DATE(YEAR(Q153),12,31)-DATE(YEAR(Q153),1,1)+1)+(R153-DATE(YEAR(R153),1,1))/(DATE(YEAR(R153),12,31)-DATE(YEAR(R153),1,1)+1)))),2)+IF(R153&lt;'Навигатор накоплений'!F24,N('Навигатор накоплений'!G24),0))+0*LEN("S153"))</f>
        <v/>
      </c>
      <c r="T153" s="45" t="str">
        <f>IF(OR(U152="",U152&gt;='Навигатор накоплений'!F27),"",(U152)+0*LEN("T153"))</f>
        <v/>
      </c>
      <c r="U153" s="45" t="str">
        <f>IF(T153="","",(MIN(EDATE(T153,1),'Навигатор накоплений'!F27))+0*LEN("U153"))</f>
        <v/>
      </c>
      <c r="V153" s="46" t="str">
        <f>IF(U153="","",(ROUND(V152*(1+'Навигатор накоплений'!D27*(IF(YEAR(T153)=YEAR(U153-1),(U153-T153)/(DATE(YEAR(T153),12,31)-DATE(YEAR(T153),1,1)+1),(DATE(YEAR(T153)+1,1,1)-T153)/(DATE(YEAR(T153),12,31)-DATE(YEAR(T153),1,1)+1)+(U153-DATE(YEAR(U153),1,1))/(DATE(YEAR(U153),12,31)-DATE(YEAR(U153),1,1)+1)))),2)+IF(U153&lt;'Навигатор накоплений'!F27,N('Навигатор накоплений'!G27),0))+0*LEN("V153"))</f>
        <v/>
      </c>
    </row>
    <row r="154" spans="1:22" ht="15" x14ac:dyDescent="0.2">
      <c r="A154"/>
      <c r="B154"/>
      <c r="C154"/>
      <c r="D154" t="str">
        <f t="shared" si="48"/>
        <v/>
      </c>
      <c r="E154"/>
      <c r="F154"/>
      <c r="G154" t="str">
        <f t="shared" si="46"/>
        <v/>
      </c>
      <c r="H154"/>
      <c r="I154" t="str">
        <f t="shared" si="47"/>
        <v/>
      </c>
      <c r="K154" s="45" t="str">
        <f>IF(OR(L153="",L153&gt;='Навигатор накоплений'!F22),"",(L153)+0*LEN("K154"))</f>
        <v/>
      </c>
      <c r="L154" s="45" t="str">
        <f>IF(K154="","",(MIN(EDATE(K154,1),'Навигатор накоплений'!F22))+0*LEN("L154"))</f>
        <v/>
      </c>
      <c r="M154" s="46" t="str">
        <f>IF(L154="","",(ROUND(M153*(1+'Навигатор накоплений'!D22*(IF(YEAR(K154)=YEAR(L154-1),(L154-K154)/(DATE(YEAR(K154),12,31)-DATE(YEAR(K154),1,1)+1),(DATE(YEAR(K154)+1,1,1)-K154)/(DATE(YEAR(K154),12,31)-DATE(YEAR(K154),1,1)+1)+(L154-DATE(YEAR(L154),1,1))/(DATE(YEAR(L154),12,31)-DATE(YEAR(L154),1,1)+1)))),2)+IF(L154&lt;'Навигатор накоплений'!F22,N('Навигатор накоплений'!G22),0))+0*LEN("M154"))</f>
        <v/>
      </c>
      <c r="N154" s="45" t="str">
        <f>IF(OR(O153="",O153&gt;='Навигатор накоплений'!F23),"",(O153)+0*LEN("N154"))</f>
        <v/>
      </c>
      <c r="O154" s="45" t="str">
        <f>IF(N154="","",(MIN(EDATE(N154,1),'Навигатор накоплений'!F23))+0*LEN("O154"))</f>
        <v/>
      </c>
      <c r="P154" s="46" t="str">
        <f>IF(O154="","",(ROUND(P153*(1+'Навигатор накоплений'!D23*(IF(YEAR(N154)=YEAR(O154-1),(O154-N154)/(DATE(YEAR(N154),12,31)-DATE(YEAR(N154),1,1)+1),(DATE(YEAR(N154)+1,1,1)-N154)/(DATE(YEAR(N154),12,31)-DATE(YEAR(N154),1,1)+1)+(O154-DATE(YEAR(O154),1,1))/(DATE(YEAR(O154),12,31)-DATE(YEAR(O154),1,1)+1)))),2)+IF(O154&lt;'Навигатор накоплений'!F23,N('Навигатор накоплений'!G23),0))+0*LEN("P154"))</f>
        <v/>
      </c>
      <c r="Q154" s="45" t="str">
        <f>IF(OR(R153="",R153&gt;='Навигатор накоплений'!F24),"",(R153)+0*LEN("Q154"))</f>
        <v/>
      </c>
      <c r="R154" s="45" t="str">
        <f>IF(Q154="","",(MIN(EDATE(Q154,1),'Навигатор накоплений'!F24))+0*LEN("R154"))</f>
        <v/>
      </c>
      <c r="S154" s="46" t="str">
        <f>IF(R154="","",(ROUND(S153*(1+'Навигатор накоплений'!D24*(IF(YEAR(Q154)=YEAR(R154-1),(R154-Q154)/(DATE(YEAR(Q154),12,31)-DATE(YEAR(Q154),1,1)+1),(DATE(YEAR(Q154)+1,1,1)-Q154)/(DATE(YEAR(Q154),12,31)-DATE(YEAR(Q154),1,1)+1)+(R154-DATE(YEAR(R154),1,1))/(DATE(YEAR(R154),12,31)-DATE(YEAR(R154),1,1)+1)))),2)+IF(R154&lt;'Навигатор накоплений'!F24,N('Навигатор накоплений'!G24),0))+0*LEN("S154"))</f>
        <v/>
      </c>
      <c r="T154" s="45" t="str">
        <f>IF(OR(U153="",U153&gt;='Навигатор накоплений'!F27),"",(U153)+0*LEN("T154"))</f>
        <v/>
      </c>
      <c r="U154" s="45" t="str">
        <f>IF(T154="","",(MIN(EDATE(T154,1),'Навигатор накоплений'!F27))+0*LEN("U154"))</f>
        <v/>
      </c>
      <c r="V154" s="46" t="str">
        <f>IF(U154="","",(ROUND(V153*(1+'Навигатор накоплений'!D27*(IF(YEAR(T154)=YEAR(U154-1),(U154-T154)/(DATE(YEAR(T154),12,31)-DATE(YEAR(T154),1,1)+1),(DATE(YEAR(T154)+1,1,1)-T154)/(DATE(YEAR(T154),12,31)-DATE(YEAR(T154),1,1)+1)+(U154-DATE(YEAR(U154),1,1))/(DATE(YEAR(U154),12,31)-DATE(YEAR(U154),1,1)+1)))),2)+IF(U154&lt;'Навигатор накоплений'!F27,N('Навигатор накоплений'!G27),0))+0*LEN("V154"))</f>
        <v/>
      </c>
    </row>
    <row r="155" spans="1:22" ht="15" x14ac:dyDescent="0.2">
      <c r="A155"/>
      <c r="B155"/>
      <c r="C155"/>
      <c r="D155" t="str">
        <f t="shared" si="48"/>
        <v/>
      </c>
      <c r="E155"/>
      <c r="F155"/>
      <c r="G155" t="str">
        <f t="shared" si="46"/>
        <v/>
      </c>
      <c r="H155"/>
      <c r="I155" t="str">
        <f t="shared" si="47"/>
        <v/>
      </c>
      <c r="K155" s="45" t="str">
        <f>IF(OR(L154="",L154&gt;='Навигатор накоплений'!F22),"",(L154)+0*LEN("K155"))</f>
        <v/>
      </c>
      <c r="L155" s="45" t="str">
        <f>IF(K155="","",(MIN(EDATE(K155,1),'Навигатор накоплений'!F22))+0*LEN("L155"))</f>
        <v/>
      </c>
      <c r="M155" s="46" t="str">
        <f>IF(L155="","",(ROUND(M154*(1+'Навигатор накоплений'!D22*(IF(YEAR(K155)=YEAR(L155-1),(L155-K155)/(DATE(YEAR(K155),12,31)-DATE(YEAR(K155),1,1)+1),(DATE(YEAR(K155)+1,1,1)-K155)/(DATE(YEAR(K155),12,31)-DATE(YEAR(K155),1,1)+1)+(L155-DATE(YEAR(L155),1,1))/(DATE(YEAR(L155),12,31)-DATE(YEAR(L155),1,1)+1)))),2)+IF(L155&lt;'Навигатор накоплений'!F22,N('Навигатор накоплений'!G22),0))+0*LEN("M155"))</f>
        <v/>
      </c>
      <c r="N155" s="45" t="str">
        <f>IF(OR(O154="",O154&gt;='Навигатор накоплений'!F23),"",(O154)+0*LEN("N155"))</f>
        <v/>
      </c>
      <c r="O155" s="45" t="str">
        <f>IF(N155="","",(MIN(EDATE(N155,1),'Навигатор накоплений'!F23))+0*LEN("O155"))</f>
        <v/>
      </c>
      <c r="P155" s="46" t="str">
        <f>IF(O155="","",(ROUND(P154*(1+'Навигатор накоплений'!D23*(IF(YEAR(N155)=YEAR(O155-1),(O155-N155)/(DATE(YEAR(N155),12,31)-DATE(YEAR(N155),1,1)+1),(DATE(YEAR(N155)+1,1,1)-N155)/(DATE(YEAR(N155),12,31)-DATE(YEAR(N155),1,1)+1)+(O155-DATE(YEAR(O155),1,1))/(DATE(YEAR(O155),12,31)-DATE(YEAR(O155),1,1)+1)))),2)+IF(O155&lt;'Навигатор накоплений'!F23,N('Навигатор накоплений'!G23),0))+0*LEN("P155"))</f>
        <v/>
      </c>
      <c r="Q155" s="45" t="str">
        <f>IF(OR(R154="",R154&gt;='Навигатор накоплений'!F24),"",(R154)+0*LEN("Q155"))</f>
        <v/>
      </c>
      <c r="R155" s="45" t="str">
        <f>IF(Q155="","",(MIN(EDATE(Q155,1),'Навигатор накоплений'!F24))+0*LEN("R155"))</f>
        <v/>
      </c>
      <c r="S155" s="46" t="str">
        <f>IF(R155="","",(ROUND(S154*(1+'Навигатор накоплений'!D24*(IF(YEAR(Q155)=YEAR(R155-1),(R155-Q155)/(DATE(YEAR(Q155),12,31)-DATE(YEAR(Q155),1,1)+1),(DATE(YEAR(Q155)+1,1,1)-Q155)/(DATE(YEAR(Q155),12,31)-DATE(YEAR(Q155),1,1)+1)+(R155-DATE(YEAR(R155),1,1))/(DATE(YEAR(R155),12,31)-DATE(YEAR(R155),1,1)+1)))),2)+IF(R155&lt;'Навигатор накоплений'!F24,N('Навигатор накоплений'!G24),0))+0*LEN("S155"))</f>
        <v/>
      </c>
      <c r="T155" s="45" t="str">
        <f>IF(OR(U154="",U154&gt;='Навигатор накоплений'!F27),"",(U154)+0*LEN("T155"))</f>
        <v/>
      </c>
      <c r="U155" s="45" t="str">
        <f>IF(T155="","",(MIN(EDATE(T155,1),'Навигатор накоплений'!F27))+0*LEN("U155"))</f>
        <v/>
      </c>
      <c r="V155" s="46" t="str">
        <f>IF(U155="","",(ROUND(V154*(1+'Навигатор накоплений'!D27*(IF(YEAR(T155)=YEAR(U155-1),(U155-T155)/(DATE(YEAR(T155),12,31)-DATE(YEAR(T155),1,1)+1),(DATE(YEAR(T155)+1,1,1)-T155)/(DATE(YEAR(T155),12,31)-DATE(YEAR(T155),1,1)+1)+(U155-DATE(YEAR(U155),1,1))/(DATE(YEAR(U155),12,31)-DATE(YEAR(U155),1,1)+1)))),2)+IF(U155&lt;'Навигатор накоплений'!F27,N('Навигатор накоплений'!G27),0))+0*LEN("V155"))</f>
        <v/>
      </c>
    </row>
    <row r="156" spans="1:22" ht="15" x14ac:dyDescent="0.2">
      <c r="A156"/>
      <c r="B156"/>
      <c r="C156"/>
      <c r="D156" t="str">
        <f t="shared" si="48"/>
        <v/>
      </c>
      <c r="E156"/>
      <c r="F156"/>
      <c r="G156" t="str">
        <f t="shared" si="46"/>
        <v/>
      </c>
      <c r="H156"/>
      <c r="I156" t="str">
        <f t="shared" si="47"/>
        <v/>
      </c>
      <c r="K156" s="45" t="str">
        <f>IF(OR(L155="",L155&gt;='Навигатор накоплений'!F22),"",(L155)+0*LEN("K156"))</f>
        <v/>
      </c>
      <c r="L156" s="45" t="str">
        <f>IF(K156="","",(MIN(EDATE(K156,1),'Навигатор накоплений'!F22))+0*LEN("L156"))</f>
        <v/>
      </c>
      <c r="M156" s="46" t="str">
        <f>IF(L156="","",(ROUND(M155*(1+'Навигатор накоплений'!D22*(IF(YEAR(K156)=YEAR(L156-1),(L156-K156)/(DATE(YEAR(K156),12,31)-DATE(YEAR(K156),1,1)+1),(DATE(YEAR(K156)+1,1,1)-K156)/(DATE(YEAR(K156),12,31)-DATE(YEAR(K156),1,1)+1)+(L156-DATE(YEAR(L156),1,1))/(DATE(YEAR(L156),12,31)-DATE(YEAR(L156),1,1)+1)))),2)+IF(L156&lt;'Навигатор накоплений'!F22,N('Навигатор накоплений'!G22),0))+0*LEN("M156"))</f>
        <v/>
      </c>
      <c r="N156" s="45" t="str">
        <f>IF(OR(O155="",O155&gt;='Навигатор накоплений'!F23),"",(O155)+0*LEN("N156"))</f>
        <v/>
      </c>
      <c r="O156" s="45" t="str">
        <f>IF(N156="","",(MIN(EDATE(N156,1),'Навигатор накоплений'!F23))+0*LEN("O156"))</f>
        <v/>
      </c>
      <c r="P156" s="46" t="str">
        <f>IF(O156="","",(ROUND(P155*(1+'Навигатор накоплений'!D23*(IF(YEAR(N156)=YEAR(O156-1),(O156-N156)/(DATE(YEAR(N156),12,31)-DATE(YEAR(N156),1,1)+1),(DATE(YEAR(N156)+1,1,1)-N156)/(DATE(YEAR(N156),12,31)-DATE(YEAR(N156),1,1)+1)+(O156-DATE(YEAR(O156),1,1))/(DATE(YEAR(O156),12,31)-DATE(YEAR(O156),1,1)+1)))),2)+IF(O156&lt;'Навигатор накоплений'!F23,N('Навигатор накоплений'!G23),0))+0*LEN("P156"))</f>
        <v/>
      </c>
      <c r="Q156" s="45" t="str">
        <f>IF(OR(R155="",R155&gt;='Навигатор накоплений'!F24),"",(R155)+0*LEN("Q156"))</f>
        <v/>
      </c>
      <c r="R156" s="45" t="str">
        <f>IF(Q156="","",(MIN(EDATE(Q156,1),'Навигатор накоплений'!F24))+0*LEN("R156"))</f>
        <v/>
      </c>
      <c r="S156" s="46" t="str">
        <f>IF(R156="","",(ROUND(S155*(1+'Навигатор накоплений'!D24*(IF(YEAR(Q156)=YEAR(R156-1),(R156-Q156)/(DATE(YEAR(Q156),12,31)-DATE(YEAR(Q156),1,1)+1),(DATE(YEAR(Q156)+1,1,1)-Q156)/(DATE(YEAR(Q156),12,31)-DATE(YEAR(Q156),1,1)+1)+(R156-DATE(YEAR(R156),1,1))/(DATE(YEAR(R156),12,31)-DATE(YEAR(R156),1,1)+1)))),2)+IF(R156&lt;'Навигатор накоплений'!F24,N('Навигатор накоплений'!G24),0))+0*LEN("S156"))</f>
        <v/>
      </c>
      <c r="T156" s="45" t="str">
        <f>IF(OR(U155="",U155&gt;='Навигатор накоплений'!F27),"",(U155)+0*LEN("T156"))</f>
        <v/>
      </c>
      <c r="U156" s="45" t="str">
        <f>IF(T156="","",(MIN(EDATE(T156,1),'Навигатор накоплений'!F27))+0*LEN("U156"))</f>
        <v/>
      </c>
      <c r="V156" s="46" t="str">
        <f>IF(U156="","",(ROUND(V155*(1+'Навигатор накоплений'!D27*(IF(YEAR(T156)=YEAR(U156-1),(U156-T156)/(DATE(YEAR(T156),12,31)-DATE(YEAR(T156),1,1)+1),(DATE(YEAR(T156)+1,1,1)-T156)/(DATE(YEAR(T156),12,31)-DATE(YEAR(T156),1,1)+1)+(U156-DATE(YEAR(U156),1,1))/(DATE(YEAR(U156),12,31)-DATE(YEAR(U156),1,1)+1)))),2)+IF(U156&lt;'Навигатор накоплений'!F27,N('Навигатор накоплений'!G27),0))+0*LEN("V156"))</f>
        <v/>
      </c>
    </row>
    <row r="157" spans="1:22" ht="15" x14ac:dyDescent="0.2">
      <c r="A157"/>
      <c r="B157"/>
      <c r="C157"/>
      <c r="D157" t="str">
        <f t="shared" si="48"/>
        <v/>
      </c>
      <c r="E157"/>
      <c r="F157"/>
      <c r="G157" t="str">
        <f t="shared" si="46"/>
        <v/>
      </c>
      <c r="H157"/>
      <c r="I157" t="str">
        <f t="shared" si="47"/>
        <v/>
      </c>
      <c r="K157" s="45" t="str">
        <f>IF(OR(L156="",L156&gt;='Навигатор накоплений'!F22),"",(L156)+0*LEN("K157"))</f>
        <v/>
      </c>
      <c r="L157" s="45" t="str">
        <f>IF(K157="","",(MIN(EDATE(K157,1),'Навигатор накоплений'!F22))+0*LEN("L157"))</f>
        <v/>
      </c>
      <c r="M157" s="46" t="str">
        <f>IF(L157="","",(ROUND(M156*(1+'Навигатор накоплений'!D22*(IF(YEAR(K157)=YEAR(L157-1),(L157-K157)/(DATE(YEAR(K157),12,31)-DATE(YEAR(K157),1,1)+1),(DATE(YEAR(K157)+1,1,1)-K157)/(DATE(YEAR(K157),12,31)-DATE(YEAR(K157),1,1)+1)+(L157-DATE(YEAR(L157),1,1))/(DATE(YEAR(L157),12,31)-DATE(YEAR(L157),1,1)+1)))),2)+IF(L157&lt;'Навигатор накоплений'!F22,N('Навигатор накоплений'!G22),0))+0*LEN("M157"))</f>
        <v/>
      </c>
      <c r="N157" s="45" t="str">
        <f>IF(OR(O156="",O156&gt;='Навигатор накоплений'!F23),"",(O156)+0*LEN("N157"))</f>
        <v/>
      </c>
      <c r="O157" s="45" t="str">
        <f>IF(N157="","",(MIN(EDATE(N157,1),'Навигатор накоплений'!F23))+0*LEN("O157"))</f>
        <v/>
      </c>
      <c r="P157" s="46" t="str">
        <f>IF(O157="","",(ROUND(P156*(1+'Навигатор накоплений'!D23*(IF(YEAR(N157)=YEAR(O157-1),(O157-N157)/(DATE(YEAR(N157),12,31)-DATE(YEAR(N157),1,1)+1),(DATE(YEAR(N157)+1,1,1)-N157)/(DATE(YEAR(N157),12,31)-DATE(YEAR(N157),1,1)+1)+(O157-DATE(YEAR(O157),1,1))/(DATE(YEAR(O157),12,31)-DATE(YEAR(O157),1,1)+1)))),2)+IF(O157&lt;'Навигатор накоплений'!F23,N('Навигатор накоплений'!G23),0))+0*LEN("P157"))</f>
        <v/>
      </c>
      <c r="Q157" s="45" t="str">
        <f>IF(OR(R156="",R156&gt;='Навигатор накоплений'!F24),"",(R156)+0*LEN("Q157"))</f>
        <v/>
      </c>
      <c r="R157" s="45" t="str">
        <f>IF(Q157="","",(MIN(EDATE(Q157,1),'Навигатор накоплений'!F24))+0*LEN("R157"))</f>
        <v/>
      </c>
      <c r="S157" s="46" t="str">
        <f>IF(R157="","",(ROUND(S156*(1+'Навигатор накоплений'!D24*(IF(YEAR(Q157)=YEAR(R157-1),(R157-Q157)/(DATE(YEAR(Q157),12,31)-DATE(YEAR(Q157),1,1)+1),(DATE(YEAR(Q157)+1,1,1)-Q157)/(DATE(YEAR(Q157),12,31)-DATE(YEAR(Q157),1,1)+1)+(R157-DATE(YEAR(R157),1,1))/(DATE(YEAR(R157),12,31)-DATE(YEAR(R157),1,1)+1)))),2)+IF(R157&lt;'Навигатор накоплений'!F24,N('Навигатор накоплений'!G24),0))+0*LEN("S157"))</f>
        <v/>
      </c>
      <c r="T157" s="45" t="str">
        <f>IF(OR(U156="",U156&gt;='Навигатор накоплений'!F27),"",(U156)+0*LEN("T157"))</f>
        <v/>
      </c>
      <c r="U157" s="45" t="str">
        <f>IF(T157="","",(MIN(EDATE(T157,1),'Навигатор накоплений'!F27))+0*LEN("U157"))</f>
        <v/>
      </c>
      <c r="V157" s="46" t="str">
        <f>IF(U157="","",(ROUND(V156*(1+'Навигатор накоплений'!D27*(IF(YEAR(T157)=YEAR(U157-1),(U157-T157)/(DATE(YEAR(T157),12,31)-DATE(YEAR(T157),1,1)+1),(DATE(YEAR(T157)+1,1,1)-T157)/(DATE(YEAR(T157),12,31)-DATE(YEAR(T157),1,1)+1)+(U157-DATE(YEAR(U157),1,1))/(DATE(YEAR(U157),12,31)-DATE(YEAR(U157),1,1)+1)))),2)+IF(U157&lt;'Навигатор накоплений'!F27,N('Навигатор накоплений'!G27),0))+0*LEN("V157"))</f>
        <v/>
      </c>
    </row>
    <row r="158" spans="1:22" ht="15" x14ac:dyDescent="0.2">
      <c r="A158"/>
      <c r="B158"/>
      <c r="C158"/>
      <c r="D158"/>
      <c r="E158"/>
      <c r="F158"/>
      <c r="G158"/>
      <c r="H158"/>
      <c r="I158"/>
      <c r="K158" s="45" t="str">
        <f>IF(OR(L157="",L157&gt;='Навигатор накоплений'!F22),"",(L157)+0*LEN("K158"))</f>
        <v/>
      </c>
      <c r="L158" s="45" t="str">
        <f>IF(K158="","",(MIN(EDATE(K158,1),'Навигатор накоплений'!F22))+0*LEN("L158"))</f>
        <v/>
      </c>
      <c r="M158" s="46" t="str">
        <f>IF(L158="","",(ROUND(M157*(1+'Навигатор накоплений'!D22*(IF(YEAR(K158)=YEAR(L158-1),(L158-K158)/(DATE(YEAR(K158),12,31)-DATE(YEAR(K158),1,1)+1),(DATE(YEAR(K158)+1,1,1)-K158)/(DATE(YEAR(K158),12,31)-DATE(YEAR(K158),1,1)+1)+(L158-DATE(YEAR(L158),1,1))/(DATE(YEAR(L158),12,31)-DATE(YEAR(L158),1,1)+1)))),2)+IF(L158&lt;'Навигатор накоплений'!F22,N('Навигатор накоплений'!G22),0))+0*LEN("M158"))</f>
        <v/>
      </c>
      <c r="N158" s="45" t="str">
        <f>IF(OR(O157="",O157&gt;='Навигатор накоплений'!F23),"",(O157)+0*LEN("N158"))</f>
        <v/>
      </c>
      <c r="O158" s="45" t="str">
        <f>IF(N158="","",(MIN(EDATE(N158,1),'Навигатор накоплений'!F23))+0*LEN("O158"))</f>
        <v/>
      </c>
      <c r="P158" s="46" t="str">
        <f>IF(O158="","",(ROUND(P157*(1+'Навигатор накоплений'!D23*(IF(YEAR(N158)=YEAR(O158-1),(O158-N158)/(DATE(YEAR(N158),12,31)-DATE(YEAR(N158),1,1)+1),(DATE(YEAR(N158)+1,1,1)-N158)/(DATE(YEAR(N158),12,31)-DATE(YEAR(N158),1,1)+1)+(O158-DATE(YEAR(O158),1,1))/(DATE(YEAR(O158),12,31)-DATE(YEAR(O158),1,1)+1)))),2)+IF(O158&lt;'Навигатор накоплений'!F23,N('Навигатор накоплений'!G23),0))+0*LEN("P158"))</f>
        <v/>
      </c>
      <c r="Q158" s="45" t="str">
        <f>IF(OR(R157="",R157&gt;='Навигатор накоплений'!F24),"",(R157)+0*LEN("Q158"))</f>
        <v/>
      </c>
      <c r="R158" s="45" t="str">
        <f>IF(Q158="","",(MIN(EDATE(Q158,1),'Навигатор накоплений'!F24))+0*LEN("R158"))</f>
        <v/>
      </c>
      <c r="S158" s="46" t="str">
        <f>IF(R158="","",(ROUND(S157*(1+'Навигатор накоплений'!D24*(IF(YEAR(Q158)=YEAR(R158-1),(R158-Q158)/(DATE(YEAR(Q158),12,31)-DATE(YEAR(Q158),1,1)+1),(DATE(YEAR(Q158)+1,1,1)-Q158)/(DATE(YEAR(Q158),12,31)-DATE(YEAR(Q158),1,1)+1)+(R158-DATE(YEAR(R158),1,1))/(DATE(YEAR(R158),12,31)-DATE(YEAR(R158),1,1)+1)))),2)+IF(R158&lt;'Навигатор накоплений'!F24,N('Навигатор накоплений'!G24),0))+0*LEN("S158"))</f>
        <v/>
      </c>
      <c r="T158" s="45" t="str">
        <f>IF(OR(U157="",U157&gt;='Навигатор накоплений'!F27),"",(U157)+0*LEN("T158"))</f>
        <v/>
      </c>
      <c r="U158" s="45" t="str">
        <f>IF(T158="","",(MIN(EDATE(T158,1),'Навигатор накоплений'!F27))+0*LEN("U158"))</f>
        <v/>
      </c>
      <c r="V158" s="46" t="str">
        <f>IF(U158="","",(ROUND(V157*(1+'Навигатор накоплений'!D27*(IF(YEAR(T158)=YEAR(U158-1),(U158-T158)/(DATE(YEAR(T158),12,31)-DATE(YEAR(T158),1,1)+1),(DATE(YEAR(T158)+1,1,1)-T158)/(DATE(YEAR(T158),12,31)-DATE(YEAR(T158),1,1)+1)+(U158-DATE(YEAR(U158),1,1))/(DATE(YEAR(U158),12,31)-DATE(YEAR(U158),1,1)+1)))),2)+IF(U158&lt;'Навигатор накоплений'!F27,N('Навигатор накоплений'!G27),0))+0*LEN("V158"))</f>
        <v/>
      </c>
    </row>
    <row r="159" spans="1:22" ht="15" x14ac:dyDescent="0.2">
      <c r="K159" s="45" t="str">
        <f>IF(OR(L158="",L158&gt;='Навигатор накоплений'!F22),"",(L158)+0*LEN("K159"))</f>
        <v/>
      </c>
      <c r="L159" s="45" t="str">
        <f>IF(K159="","",(MIN(EDATE(K159,1),'Навигатор накоплений'!F22))+0*LEN("L159"))</f>
        <v/>
      </c>
      <c r="M159" s="46" t="str">
        <f>IF(L159="","",(ROUND(M158*(1+'Навигатор накоплений'!D22*(IF(YEAR(K159)=YEAR(L159-1),(L159-K159)/(DATE(YEAR(K159),12,31)-DATE(YEAR(K159),1,1)+1),(DATE(YEAR(K159)+1,1,1)-K159)/(DATE(YEAR(K159),12,31)-DATE(YEAR(K159),1,1)+1)+(L159-DATE(YEAR(L159),1,1))/(DATE(YEAR(L159),12,31)-DATE(YEAR(L159),1,1)+1)))),2)+IF(L159&lt;'Навигатор накоплений'!F22,N('Навигатор накоплений'!G22),0))+0*LEN("M159"))</f>
        <v/>
      </c>
      <c r="N159" s="45" t="str">
        <f>IF(OR(O158="",O158&gt;='Навигатор накоплений'!F23),"",(O158)+0*LEN("N159"))</f>
        <v/>
      </c>
      <c r="O159" s="45" t="str">
        <f>IF(N159="","",(MIN(EDATE(N159,1),'Навигатор накоплений'!F23))+0*LEN("O159"))</f>
        <v/>
      </c>
      <c r="P159" s="46" t="str">
        <f>IF(O159="","",(ROUND(P158*(1+'Навигатор накоплений'!D23*(IF(YEAR(N159)=YEAR(O159-1),(O159-N159)/(DATE(YEAR(N159),12,31)-DATE(YEAR(N159),1,1)+1),(DATE(YEAR(N159)+1,1,1)-N159)/(DATE(YEAR(N159),12,31)-DATE(YEAR(N159),1,1)+1)+(O159-DATE(YEAR(O159),1,1))/(DATE(YEAR(O159),12,31)-DATE(YEAR(O159),1,1)+1)))),2)+IF(O159&lt;'Навигатор накоплений'!F23,N('Навигатор накоплений'!G23),0))+0*LEN("P159"))</f>
        <v/>
      </c>
      <c r="Q159" s="45" t="str">
        <f>IF(OR(R158="",R158&gt;='Навигатор накоплений'!F24),"",(R158)+0*LEN("Q159"))</f>
        <v/>
      </c>
      <c r="R159" s="45" t="str">
        <f>IF(Q159="","",(MIN(EDATE(Q159,1),'Навигатор накоплений'!F24))+0*LEN("R159"))</f>
        <v/>
      </c>
      <c r="S159" s="46" t="str">
        <f>IF(R159="","",(ROUND(S158*(1+'Навигатор накоплений'!D24*(IF(YEAR(Q159)=YEAR(R159-1),(R159-Q159)/(DATE(YEAR(Q159),12,31)-DATE(YEAR(Q159),1,1)+1),(DATE(YEAR(Q159)+1,1,1)-Q159)/(DATE(YEAR(Q159),12,31)-DATE(YEAR(Q159),1,1)+1)+(R159-DATE(YEAR(R159),1,1))/(DATE(YEAR(R159),12,31)-DATE(YEAR(R159),1,1)+1)))),2)+IF(R159&lt;'Навигатор накоплений'!F24,N('Навигатор накоплений'!G24),0))+0*LEN("S159"))</f>
        <v/>
      </c>
      <c r="T159" s="45" t="str">
        <f>IF(OR(U158="",U158&gt;='Навигатор накоплений'!F27),"",(U158)+0*LEN("T159"))</f>
        <v/>
      </c>
      <c r="U159" s="45" t="str">
        <f>IF(T159="","",(MIN(EDATE(T159,1),'Навигатор накоплений'!F27))+0*LEN("U159"))</f>
        <v/>
      </c>
      <c r="V159" s="46" t="str">
        <f>IF(U159="","",(ROUND(V158*(1+'Навигатор накоплений'!D27*(IF(YEAR(T159)=YEAR(U159-1),(U159-T159)/(DATE(YEAR(T159),12,31)-DATE(YEAR(T159),1,1)+1),(DATE(YEAR(T159)+1,1,1)-T159)/(DATE(YEAR(T159),12,31)-DATE(YEAR(T159),1,1)+1)+(U159-DATE(YEAR(U159),1,1))/(DATE(YEAR(U159),12,31)-DATE(YEAR(U159),1,1)+1)))),2)+IF(U159&lt;'Навигатор накоплений'!F27,N('Навигатор накоплений'!G27),0))+0*LEN("V159"))</f>
        <v/>
      </c>
    </row>
    <row r="160" spans="1:22" ht="15" x14ac:dyDescent="0.2">
      <c r="K160" s="45" t="str">
        <f>IF(OR(L159="",L159&gt;='Навигатор накоплений'!F22),"",(L159)+0*LEN("K160"))</f>
        <v/>
      </c>
      <c r="L160" s="45" t="str">
        <f>IF(K160="","",(MIN(EDATE(K160,1),'Навигатор накоплений'!F22))+0*LEN("L160"))</f>
        <v/>
      </c>
      <c r="M160" s="46" t="str">
        <f>IF(L160="","",(ROUND(M159*(1+'Навигатор накоплений'!D22*(IF(YEAR(K160)=YEAR(L160-1),(L160-K160)/(DATE(YEAR(K160),12,31)-DATE(YEAR(K160),1,1)+1),(DATE(YEAR(K160)+1,1,1)-K160)/(DATE(YEAR(K160),12,31)-DATE(YEAR(K160),1,1)+1)+(L160-DATE(YEAR(L160),1,1))/(DATE(YEAR(L160),12,31)-DATE(YEAR(L160),1,1)+1)))),2)+IF(L160&lt;'Навигатор накоплений'!F22,N('Навигатор накоплений'!G22),0))+0*LEN("M160"))</f>
        <v/>
      </c>
      <c r="N160" s="45" t="str">
        <f>IF(OR(O159="",O159&gt;='Навигатор накоплений'!F23),"",(O159)+0*LEN("N160"))</f>
        <v/>
      </c>
      <c r="O160" s="45" t="str">
        <f>IF(N160="","",(MIN(EDATE(N160,1),'Навигатор накоплений'!F23))+0*LEN("O160"))</f>
        <v/>
      </c>
      <c r="P160" s="46" t="str">
        <f>IF(O160="","",(ROUND(P159*(1+'Навигатор накоплений'!D23*(IF(YEAR(N160)=YEAR(O160-1),(O160-N160)/(DATE(YEAR(N160),12,31)-DATE(YEAR(N160),1,1)+1),(DATE(YEAR(N160)+1,1,1)-N160)/(DATE(YEAR(N160),12,31)-DATE(YEAR(N160),1,1)+1)+(O160-DATE(YEAR(O160),1,1))/(DATE(YEAR(O160),12,31)-DATE(YEAR(O160),1,1)+1)))),2)+IF(O160&lt;'Навигатор накоплений'!F23,N('Навигатор накоплений'!G23),0))+0*LEN("P160"))</f>
        <v/>
      </c>
      <c r="Q160" s="45" t="str">
        <f>IF(OR(R159="",R159&gt;='Навигатор накоплений'!F24),"",(R159)+0*LEN("Q160"))</f>
        <v/>
      </c>
      <c r="R160" s="45" t="str">
        <f>IF(Q160="","",(MIN(EDATE(Q160,1),'Навигатор накоплений'!F24))+0*LEN("R160"))</f>
        <v/>
      </c>
      <c r="S160" s="46" t="str">
        <f>IF(R160="","",(ROUND(S159*(1+'Навигатор накоплений'!D24*(IF(YEAR(Q160)=YEAR(R160-1),(R160-Q160)/(DATE(YEAR(Q160),12,31)-DATE(YEAR(Q160),1,1)+1),(DATE(YEAR(Q160)+1,1,1)-Q160)/(DATE(YEAR(Q160),12,31)-DATE(YEAR(Q160),1,1)+1)+(R160-DATE(YEAR(R160),1,1))/(DATE(YEAR(R160),12,31)-DATE(YEAR(R160),1,1)+1)))),2)+IF(R160&lt;'Навигатор накоплений'!F24,N('Навигатор накоплений'!G24),0))+0*LEN("S160"))</f>
        <v/>
      </c>
      <c r="T160" s="45" t="str">
        <f>IF(OR(U159="",U159&gt;='Навигатор накоплений'!F27),"",(U159)+0*LEN("T160"))</f>
        <v/>
      </c>
      <c r="U160" s="45" t="str">
        <f>IF(T160="","",(MIN(EDATE(T160,1),'Навигатор накоплений'!F27))+0*LEN("U160"))</f>
        <v/>
      </c>
      <c r="V160" s="46" t="str">
        <f>IF(U160="","",(ROUND(V159*(1+'Навигатор накоплений'!D27*(IF(YEAR(T160)=YEAR(U160-1),(U160-T160)/(DATE(YEAR(T160),12,31)-DATE(YEAR(T160),1,1)+1),(DATE(YEAR(T160)+1,1,1)-T160)/(DATE(YEAR(T160),12,31)-DATE(YEAR(T160),1,1)+1)+(U160-DATE(YEAR(U160),1,1))/(DATE(YEAR(U160),12,31)-DATE(YEAR(U160),1,1)+1)))),2)+IF(U160&lt;'Навигатор накоплений'!F27,N('Навигатор накоплений'!G27),0))+0*LEN("V160"))</f>
        <v/>
      </c>
    </row>
    <row r="161" spans="1:22" ht="15" x14ac:dyDescent="0.2">
      <c r="A161"/>
      <c r="B161"/>
      <c r="C161"/>
      <c r="D161"/>
      <c r="E161"/>
      <c r="F161"/>
      <c r="G161"/>
      <c r="H161"/>
      <c r="I161"/>
      <c r="K161" s="45" t="str">
        <f>IF(OR(L160="",L160&gt;='Навигатор накоплений'!F22),"",(L160)+0*LEN("K161"))</f>
        <v/>
      </c>
      <c r="L161" s="45" t="str">
        <f>IF(K161="","",(MIN(EDATE(K161,1),'Навигатор накоплений'!F22))+0*LEN("L161"))</f>
        <v/>
      </c>
      <c r="M161" s="46" t="str">
        <f>IF(L161="","",(ROUND(M160*(1+'Навигатор накоплений'!D22*(IF(YEAR(K161)=YEAR(L161-1),(L161-K161)/(DATE(YEAR(K161),12,31)-DATE(YEAR(K161),1,1)+1),(DATE(YEAR(K161)+1,1,1)-K161)/(DATE(YEAR(K161),12,31)-DATE(YEAR(K161),1,1)+1)+(L161-DATE(YEAR(L161),1,1))/(DATE(YEAR(L161),12,31)-DATE(YEAR(L161),1,1)+1)))),2)+IF(L161&lt;'Навигатор накоплений'!F22,N('Навигатор накоплений'!G22),0))+0*LEN("M161"))</f>
        <v/>
      </c>
      <c r="N161" s="45" t="str">
        <f>IF(OR(O160="",O160&gt;='Навигатор накоплений'!F23),"",(O160)+0*LEN("N161"))</f>
        <v/>
      </c>
      <c r="O161" s="45" t="str">
        <f>IF(N161="","",(MIN(EDATE(N161,1),'Навигатор накоплений'!F23))+0*LEN("O161"))</f>
        <v/>
      </c>
      <c r="P161" s="46" t="str">
        <f>IF(O161="","",(ROUND(P160*(1+'Навигатор накоплений'!D23*(IF(YEAR(N161)=YEAR(O161-1),(O161-N161)/(DATE(YEAR(N161),12,31)-DATE(YEAR(N161),1,1)+1),(DATE(YEAR(N161)+1,1,1)-N161)/(DATE(YEAR(N161),12,31)-DATE(YEAR(N161),1,1)+1)+(O161-DATE(YEAR(O161),1,1))/(DATE(YEAR(O161),12,31)-DATE(YEAR(O161),1,1)+1)))),2)+IF(O161&lt;'Навигатор накоплений'!F23,N('Навигатор накоплений'!G23),0))+0*LEN("P161"))</f>
        <v/>
      </c>
      <c r="Q161" s="45" t="str">
        <f>IF(OR(R160="",R160&gt;='Навигатор накоплений'!F24),"",(R160)+0*LEN("Q161"))</f>
        <v/>
      </c>
      <c r="R161" s="45" t="str">
        <f>IF(Q161="","",(MIN(EDATE(Q161,1),'Навигатор накоплений'!F24))+0*LEN("R161"))</f>
        <v/>
      </c>
      <c r="S161" s="46" t="str">
        <f>IF(R161="","",(ROUND(S160*(1+'Навигатор накоплений'!D24*(IF(YEAR(Q161)=YEAR(R161-1),(R161-Q161)/(DATE(YEAR(Q161),12,31)-DATE(YEAR(Q161),1,1)+1),(DATE(YEAR(Q161)+1,1,1)-Q161)/(DATE(YEAR(Q161),12,31)-DATE(YEAR(Q161),1,1)+1)+(R161-DATE(YEAR(R161),1,1))/(DATE(YEAR(R161),12,31)-DATE(YEAR(R161),1,1)+1)))),2)+IF(R161&lt;'Навигатор накоплений'!F24,N('Навигатор накоплений'!G24),0))+0*LEN("S161"))</f>
        <v/>
      </c>
      <c r="T161" s="45" t="str">
        <f>IF(OR(U160="",U160&gt;='Навигатор накоплений'!F27),"",(U160)+0*LEN("T161"))</f>
        <v/>
      </c>
      <c r="U161" s="45" t="str">
        <f>IF(T161="","",(MIN(EDATE(T161,1),'Навигатор накоплений'!F27))+0*LEN("U161"))</f>
        <v/>
      </c>
      <c r="V161" s="46" t="str">
        <f>IF(U161="","",(ROUND(V160*(1+'Навигатор накоплений'!D27*(IF(YEAR(T161)=YEAR(U161-1),(U161-T161)/(DATE(YEAR(T161),12,31)-DATE(YEAR(T161),1,1)+1),(DATE(YEAR(T161)+1,1,1)-T161)/(DATE(YEAR(T161),12,31)-DATE(YEAR(T161),1,1)+1)+(U161-DATE(YEAR(U161),1,1))/(DATE(YEAR(U161),12,31)-DATE(YEAR(U161),1,1)+1)))),2)+IF(U161&lt;'Навигатор накоплений'!F27,N('Навигатор накоплений'!G27),0))+0*LEN("V161"))</f>
        <v/>
      </c>
    </row>
    <row r="162" spans="1:22" ht="15" x14ac:dyDescent="0.2">
      <c r="A162"/>
      <c r="B162"/>
      <c r="C162"/>
      <c r="D162"/>
      <c r="E162"/>
      <c r="F162"/>
      <c r="G162"/>
      <c r="H162"/>
      <c r="I162"/>
      <c r="K162" s="45" t="str">
        <f>IF(OR(L161="",L161&gt;='Навигатор накоплений'!F22),"",(L161)+0*LEN("K162"))</f>
        <v/>
      </c>
      <c r="L162" s="45" t="str">
        <f>IF(K162="","",(MIN(EDATE(K162,1),'Навигатор накоплений'!F22))+0*LEN("L162"))</f>
        <v/>
      </c>
      <c r="M162" s="46" t="str">
        <f>IF(L162="","",(ROUND(M161*(1+'Навигатор накоплений'!D22*(IF(YEAR(K162)=YEAR(L162-1),(L162-K162)/(DATE(YEAR(K162),12,31)-DATE(YEAR(K162),1,1)+1),(DATE(YEAR(K162)+1,1,1)-K162)/(DATE(YEAR(K162),12,31)-DATE(YEAR(K162),1,1)+1)+(L162-DATE(YEAR(L162),1,1))/(DATE(YEAR(L162),12,31)-DATE(YEAR(L162),1,1)+1)))),2)+IF(L162&lt;'Навигатор накоплений'!F22,N('Навигатор накоплений'!G22),0))+0*LEN("M162"))</f>
        <v/>
      </c>
      <c r="N162" s="45" t="str">
        <f>IF(OR(O161="",O161&gt;='Навигатор накоплений'!F23),"",(O161)+0*LEN("N162"))</f>
        <v/>
      </c>
      <c r="O162" s="45" t="str">
        <f>IF(N162="","",(MIN(EDATE(N162,1),'Навигатор накоплений'!F23))+0*LEN("O162"))</f>
        <v/>
      </c>
      <c r="P162" s="46" t="str">
        <f>IF(O162="","",(ROUND(P161*(1+'Навигатор накоплений'!D23*(IF(YEAR(N162)=YEAR(O162-1),(O162-N162)/(DATE(YEAR(N162),12,31)-DATE(YEAR(N162),1,1)+1),(DATE(YEAR(N162)+1,1,1)-N162)/(DATE(YEAR(N162),12,31)-DATE(YEAR(N162),1,1)+1)+(O162-DATE(YEAR(O162),1,1))/(DATE(YEAR(O162),12,31)-DATE(YEAR(O162),1,1)+1)))),2)+IF(O162&lt;'Навигатор накоплений'!F23,N('Навигатор накоплений'!G23),0))+0*LEN("P162"))</f>
        <v/>
      </c>
      <c r="Q162" s="45" t="str">
        <f>IF(OR(R161="",R161&gt;='Навигатор накоплений'!F24),"",(R161)+0*LEN("Q162"))</f>
        <v/>
      </c>
      <c r="R162" s="45" t="str">
        <f>IF(Q162="","",(MIN(EDATE(Q162,1),'Навигатор накоплений'!F24))+0*LEN("R162"))</f>
        <v/>
      </c>
      <c r="S162" s="46" t="str">
        <f>IF(R162="","",(ROUND(S161*(1+'Навигатор накоплений'!D24*(IF(YEAR(Q162)=YEAR(R162-1),(R162-Q162)/(DATE(YEAR(Q162),12,31)-DATE(YEAR(Q162),1,1)+1),(DATE(YEAR(Q162)+1,1,1)-Q162)/(DATE(YEAR(Q162),12,31)-DATE(YEAR(Q162),1,1)+1)+(R162-DATE(YEAR(R162),1,1))/(DATE(YEAR(R162),12,31)-DATE(YEAR(R162),1,1)+1)))),2)+IF(R162&lt;'Навигатор накоплений'!F24,N('Навигатор накоплений'!G24),0))+0*LEN("S162"))</f>
        <v/>
      </c>
      <c r="T162" s="45" t="str">
        <f>IF(OR(U161="",U161&gt;='Навигатор накоплений'!F27),"",(U161)+0*LEN("T162"))</f>
        <v/>
      </c>
      <c r="U162" s="45" t="str">
        <f>IF(T162="","",(MIN(EDATE(T162,1),'Навигатор накоплений'!F27))+0*LEN("U162"))</f>
        <v/>
      </c>
      <c r="V162" s="46" t="str">
        <f>IF(U162="","",(ROUND(V161*(1+'Навигатор накоплений'!D27*(IF(YEAR(T162)=YEAR(U162-1),(U162-T162)/(DATE(YEAR(T162),12,31)-DATE(YEAR(T162),1,1)+1),(DATE(YEAR(T162)+1,1,1)-T162)/(DATE(YEAR(T162),12,31)-DATE(YEAR(T162),1,1)+1)+(U162-DATE(YEAR(U162),1,1))/(DATE(YEAR(U162),12,31)-DATE(YEAR(U162),1,1)+1)))),2)+IF(U162&lt;'Навигатор накоплений'!F27,N('Навигатор накоплений'!G27),0))+0*LEN("V162"))</f>
        <v/>
      </c>
    </row>
    <row r="163" spans="1:22" ht="15" x14ac:dyDescent="0.2">
      <c r="A163"/>
      <c r="B163"/>
      <c r="C163"/>
      <c r="D163"/>
      <c r="E163"/>
      <c r="F163"/>
      <c r="G163" t="str">
        <f t="shared" ref="G163:G174" si="49">IF(B163="","",C163-B163)</f>
        <v/>
      </c>
      <c r="H163"/>
      <c r="I163" t="str">
        <f t="shared" ref="I163:I174" si="50">IF(B163="","",ROUND(D163+E163+H163,2))</f>
        <v/>
      </c>
      <c r="K163" s="45" t="str">
        <f>IF(OR(L162="",L162&gt;='Навигатор накоплений'!F22),"",(L162)+0*LEN("K163"))</f>
        <v/>
      </c>
      <c r="L163" s="45" t="str">
        <f>IF(K163="","",(MIN(EDATE(K163,1),'Навигатор накоплений'!F22))+0*LEN("L163"))</f>
        <v/>
      </c>
      <c r="M163" s="46" t="str">
        <f>IF(L163="","",(ROUND(M162*(1+'Навигатор накоплений'!D22*(IF(YEAR(K163)=YEAR(L163-1),(L163-K163)/(DATE(YEAR(K163),12,31)-DATE(YEAR(K163),1,1)+1),(DATE(YEAR(K163)+1,1,1)-K163)/(DATE(YEAR(K163),12,31)-DATE(YEAR(K163),1,1)+1)+(L163-DATE(YEAR(L163),1,1))/(DATE(YEAR(L163),12,31)-DATE(YEAR(L163),1,1)+1)))),2)+IF(L163&lt;'Навигатор накоплений'!F22,N('Навигатор накоплений'!G22),0))+0*LEN("M163"))</f>
        <v/>
      </c>
      <c r="N163" s="45" t="str">
        <f>IF(OR(O162="",O162&gt;='Навигатор накоплений'!F23),"",(O162)+0*LEN("N163"))</f>
        <v/>
      </c>
      <c r="O163" s="45" t="str">
        <f>IF(N163="","",(MIN(EDATE(N163,1),'Навигатор накоплений'!F23))+0*LEN("O163"))</f>
        <v/>
      </c>
      <c r="P163" s="46" t="str">
        <f>IF(O163="","",(ROUND(P162*(1+'Навигатор накоплений'!D23*(IF(YEAR(N163)=YEAR(O163-1),(O163-N163)/(DATE(YEAR(N163),12,31)-DATE(YEAR(N163),1,1)+1),(DATE(YEAR(N163)+1,1,1)-N163)/(DATE(YEAR(N163),12,31)-DATE(YEAR(N163),1,1)+1)+(O163-DATE(YEAR(O163),1,1))/(DATE(YEAR(O163),12,31)-DATE(YEAR(O163),1,1)+1)))),2)+IF(O163&lt;'Навигатор накоплений'!F23,N('Навигатор накоплений'!G23),0))+0*LEN("P163"))</f>
        <v/>
      </c>
      <c r="Q163" s="45" t="str">
        <f>IF(OR(R162="",R162&gt;='Навигатор накоплений'!F24),"",(R162)+0*LEN("Q163"))</f>
        <v/>
      </c>
      <c r="R163" s="45" t="str">
        <f>IF(Q163="","",(MIN(EDATE(Q163,1),'Навигатор накоплений'!F24))+0*LEN("R163"))</f>
        <v/>
      </c>
      <c r="S163" s="46" t="str">
        <f>IF(R163="","",(ROUND(S162*(1+'Навигатор накоплений'!D24*(IF(YEAR(Q163)=YEAR(R163-1),(R163-Q163)/(DATE(YEAR(Q163),12,31)-DATE(YEAR(Q163),1,1)+1),(DATE(YEAR(Q163)+1,1,1)-Q163)/(DATE(YEAR(Q163),12,31)-DATE(YEAR(Q163),1,1)+1)+(R163-DATE(YEAR(R163),1,1))/(DATE(YEAR(R163),12,31)-DATE(YEAR(R163),1,1)+1)))),2)+IF(R163&lt;'Навигатор накоплений'!F24,N('Навигатор накоплений'!G24),0))+0*LEN("S163"))</f>
        <v/>
      </c>
      <c r="T163" s="45" t="str">
        <f>IF(OR(U162="",U162&gt;='Навигатор накоплений'!F27),"",(U162)+0*LEN("T163"))</f>
        <v/>
      </c>
      <c r="U163" s="45" t="str">
        <f>IF(T163="","",(MIN(EDATE(T163,1),'Навигатор накоплений'!F27))+0*LEN("U163"))</f>
        <v/>
      </c>
      <c r="V163" s="46" t="str">
        <f>IF(U163="","",(ROUND(V162*(1+'Навигатор накоплений'!D27*(IF(YEAR(T163)=YEAR(U163-1),(U163-T163)/(DATE(YEAR(T163),12,31)-DATE(YEAR(T163),1,1)+1),(DATE(YEAR(T163)+1,1,1)-T163)/(DATE(YEAR(T163),12,31)-DATE(YEAR(T163),1,1)+1)+(U163-DATE(YEAR(U163),1,1))/(DATE(YEAR(U163),12,31)-DATE(YEAR(U163),1,1)+1)))),2)+IF(U163&lt;'Навигатор накоплений'!F27,N('Навигатор накоплений'!G27),0))+0*LEN("V163"))</f>
        <v/>
      </c>
    </row>
    <row r="164" spans="1:22" ht="15" x14ac:dyDescent="0.2">
      <c r="A164"/>
      <c r="B164"/>
      <c r="C164"/>
      <c r="D164" t="str">
        <f t="shared" ref="D164:D174" si="51">IF(B164="","",I163)</f>
        <v/>
      </c>
      <c r="E164"/>
      <c r="F164"/>
      <c r="G164" t="str">
        <f t="shared" si="49"/>
        <v/>
      </c>
      <c r="H164"/>
      <c r="I164" t="str">
        <f t="shared" si="50"/>
        <v/>
      </c>
      <c r="K164" s="45" t="str">
        <f>IF(OR(L163="",L163&gt;='Навигатор накоплений'!F22),"",(L163)+0*LEN("K164"))</f>
        <v/>
      </c>
      <c r="L164" s="45" t="str">
        <f>IF(K164="","",(MIN(EDATE(K164,1),'Навигатор накоплений'!F22))+0*LEN("L164"))</f>
        <v/>
      </c>
      <c r="M164" s="46" t="str">
        <f>IF(L164="","",(ROUND(M163*(1+'Навигатор накоплений'!D22*(IF(YEAR(K164)=YEAR(L164-1),(L164-K164)/(DATE(YEAR(K164),12,31)-DATE(YEAR(K164),1,1)+1),(DATE(YEAR(K164)+1,1,1)-K164)/(DATE(YEAR(K164),12,31)-DATE(YEAR(K164),1,1)+1)+(L164-DATE(YEAR(L164),1,1))/(DATE(YEAR(L164),12,31)-DATE(YEAR(L164),1,1)+1)))),2)+IF(L164&lt;'Навигатор накоплений'!F22,N('Навигатор накоплений'!G22),0))+0*LEN("M164"))</f>
        <v/>
      </c>
      <c r="N164" s="45" t="str">
        <f>IF(OR(O163="",O163&gt;='Навигатор накоплений'!F23),"",(O163)+0*LEN("N164"))</f>
        <v/>
      </c>
      <c r="O164" s="45" t="str">
        <f>IF(N164="","",(MIN(EDATE(N164,1),'Навигатор накоплений'!F23))+0*LEN("O164"))</f>
        <v/>
      </c>
      <c r="P164" s="46" t="str">
        <f>IF(O164="","",(ROUND(P163*(1+'Навигатор накоплений'!D23*(IF(YEAR(N164)=YEAR(O164-1),(O164-N164)/(DATE(YEAR(N164),12,31)-DATE(YEAR(N164),1,1)+1),(DATE(YEAR(N164)+1,1,1)-N164)/(DATE(YEAR(N164),12,31)-DATE(YEAR(N164),1,1)+1)+(O164-DATE(YEAR(O164),1,1))/(DATE(YEAR(O164),12,31)-DATE(YEAR(O164),1,1)+1)))),2)+IF(O164&lt;'Навигатор накоплений'!F23,N('Навигатор накоплений'!G23),0))+0*LEN("P164"))</f>
        <v/>
      </c>
      <c r="Q164" s="45" t="str">
        <f>IF(OR(R163="",R163&gt;='Навигатор накоплений'!F24),"",(R163)+0*LEN("Q164"))</f>
        <v/>
      </c>
      <c r="R164" s="45" t="str">
        <f>IF(Q164="","",(MIN(EDATE(Q164,1),'Навигатор накоплений'!F24))+0*LEN("R164"))</f>
        <v/>
      </c>
      <c r="S164" s="46" t="str">
        <f>IF(R164="","",(ROUND(S163*(1+'Навигатор накоплений'!D24*(IF(YEAR(Q164)=YEAR(R164-1),(R164-Q164)/(DATE(YEAR(Q164),12,31)-DATE(YEAR(Q164),1,1)+1),(DATE(YEAR(Q164)+1,1,1)-Q164)/(DATE(YEAR(Q164),12,31)-DATE(YEAR(Q164),1,1)+1)+(R164-DATE(YEAR(R164),1,1))/(DATE(YEAR(R164),12,31)-DATE(YEAR(R164),1,1)+1)))),2)+IF(R164&lt;'Навигатор накоплений'!F24,N('Навигатор накоплений'!G24),0))+0*LEN("S164"))</f>
        <v/>
      </c>
      <c r="T164" s="45" t="str">
        <f>IF(OR(U163="",U163&gt;='Навигатор накоплений'!F27),"",(U163)+0*LEN("T164"))</f>
        <v/>
      </c>
      <c r="U164" s="45" t="str">
        <f>IF(T164="","",(MIN(EDATE(T164,1),'Навигатор накоплений'!F27))+0*LEN("U164"))</f>
        <v/>
      </c>
      <c r="V164" s="46" t="str">
        <f>IF(U164="","",(ROUND(V163*(1+'Навигатор накоплений'!D27*(IF(YEAR(T164)=YEAR(U164-1),(U164-T164)/(DATE(YEAR(T164),12,31)-DATE(YEAR(T164),1,1)+1),(DATE(YEAR(T164)+1,1,1)-T164)/(DATE(YEAR(T164),12,31)-DATE(YEAR(T164),1,1)+1)+(U164-DATE(YEAR(U164),1,1))/(DATE(YEAR(U164),12,31)-DATE(YEAR(U164),1,1)+1)))),2)+IF(U164&lt;'Навигатор накоплений'!F27,N('Навигатор накоплений'!G27),0))+0*LEN("V164"))</f>
        <v/>
      </c>
    </row>
    <row r="165" spans="1:22" ht="15" x14ac:dyDescent="0.2">
      <c r="A165"/>
      <c r="B165"/>
      <c r="C165"/>
      <c r="D165" t="str">
        <f t="shared" si="51"/>
        <v/>
      </c>
      <c r="E165"/>
      <c r="F165"/>
      <c r="G165" t="str">
        <f t="shared" si="49"/>
        <v/>
      </c>
      <c r="H165"/>
      <c r="I165" t="str">
        <f t="shared" si="50"/>
        <v/>
      </c>
      <c r="K165" s="45" t="str">
        <f>IF(OR(L164="",L164&gt;='Навигатор накоплений'!F22),"",(L164)+0*LEN("K165"))</f>
        <v/>
      </c>
      <c r="L165" s="45" t="str">
        <f>IF(K165="","",(MIN(EDATE(K165,1),'Навигатор накоплений'!F22))+0*LEN("L165"))</f>
        <v/>
      </c>
      <c r="M165" s="46" t="str">
        <f>IF(L165="","",(ROUND(M164*(1+'Навигатор накоплений'!D22*(IF(YEAR(K165)=YEAR(L165-1),(L165-K165)/(DATE(YEAR(K165),12,31)-DATE(YEAR(K165),1,1)+1),(DATE(YEAR(K165)+1,1,1)-K165)/(DATE(YEAR(K165),12,31)-DATE(YEAR(K165),1,1)+1)+(L165-DATE(YEAR(L165),1,1))/(DATE(YEAR(L165),12,31)-DATE(YEAR(L165),1,1)+1)))),2)+IF(L165&lt;'Навигатор накоплений'!F22,N('Навигатор накоплений'!G22),0))+0*LEN("M165"))</f>
        <v/>
      </c>
      <c r="N165" s="45" t="str">
        <f>IF(OR(O164="",O164&gt;='Навигатор накоплений'!F23),"",(O164)+0*LEN("N165"))</f>
        <v/>
      </c>
      <c r="O165" s="45" t="str">
        <f>IF(N165="","",(MIN(EDATE(N165,1),'Навигатор накоплений'!F23))+0*LEN("O165"))</f>
        <v/>
      </c>
      <c r="P165" s="46" t="str">
        <f>IF(O165="","",(ROUND(P164*(1+'Навигатор накоплений'!D23*(IF(YEAR(N165)=YEAR(O165-1),(O165-N165)/(DATE(YEAR(N165),12,31)-DATE(YEAR(N165),1,1)+1),(DATE(YEAR(N165)+1,1,1)-N165)/(DATE(YEAR(N165),12,31)-DATE(YEAR(N165),1,1)+1)+(O165-DATE(YEAR(O165),1,1))/(DATE(YEAR(O165),12,31)-DATE(YEAR(O165),1,1)+1)))),2)+IF(O165&lt;'Навигатор накоплений'!F23,N('Навигатор накоплений'!G23),0))+0*LEN("P165"))</f>
        <v/>
      </c>
      <c r="Q165" s="45" t="str">
        <f>IF(OR(R164="",R164&gt;='Навигатор накоплений'!F24),"",(R164)+0*LEN("Q165"))</f>
        <v/>
      </c>
      <c r="R165" s="45" t="str">
        <f>IF(Q165="","",(MIN(EDATE(Q165,1),'Навигатор накоплений'!F24))+0*LEN("R165"))</f>
        <v/>
      </c>
      <c r="S165" s="46" t="str">
        <f>IF(R165="","",(ROUND(S164*(1+'Навигатор накоплений'!D24*(IF(YEAR(Q165)=YEAR(R165-1),(R165-Q165)/(DATE(YEAR(Q165),12,31)-DATE(YEAR(Q165),1,1)+1),(DATE(YEAR(Q165)+1,1,1)-Q165)/(DATE(YEAR(Q165),12,31)-DATE(YEAR(Q165),1,1)+1)+(R165-DATE(YEAR(R165),1,1))/(DATE(YEAR(R165),12,31)-DATE(YEAR(R165),1,1)+1)))),2)+IF(R165&lt;'Навигатор накоплений'!F24,N('Навигатор накоплений'!G24),0))+0*LEN("S165"))</f>
        <v/>
      </c>
      <c r="T165" s="45" t="str">
        <f>IF(OR(U164="",U164&gt;='Навигатор накоплений'!F27),"",(U164)+0*LEN("T165"))</f>
        <v/>
      </c>
      <c r="U165" s="45" t="str">
        <f>IF(T165="","",(MIN(EDATE(T165,1),'Навигатор накоплений'!F27))+0*LEN("U165"))</f>
        <v/>
      </c>
      <c r="V165" s="46" t="str">
        <f>IF(U165="","",(ROUND(V164*(1+'Навигатор накоплений'!D27*(IF(YEAR(T165)=YEAR(U165-1),(U165-T165)/(DATE(YEAR(T165),12,31)-DATE(YEAR(T165),1,1)+1),(DATE(YEAR(T165)+1,1,1)-T165)/(DATE(YEAR(T165),12,31)-DATE(YEAR(T165),1,1)+1)+(U165-DATE(YEAR(U165),1,1))/(DATE(YEAR(U165),12,31)-DATE(YEAR(U165),1,1)+1)))),2)+IF(U165&lt;'Навигатор накоплений'!F27,N('Навигатор накоплений'!G27),0))+0*LEN("V165"))</f>
        <v/>
      </c>
    </row>
    <row r="166" spans="1:22" ht="15" x14ac:dyDescent="0.2">
      <c r="A166"/>
      <c r="B166"/>
      <c r="C166"/>
      <c r="D166" t="str">
        <f t="shared" si="51"/>
        <v/>
      </c>
      <c r="E166"/>
      <c r="F166"/>
      <c r="G166" t="str">
        <f t="shared" si="49"/>
        <v/>
      </c>
      <c r="H166"/>
      <c r="I166" t="str">
        <f t="shared" si="50"/>
        <v/>
      </c>
      <c r="K166" s="45" t="str">
        <f>IF(OR(L165="",L165&gt;='Навигатор накоплений'!F22),"",(L165)+0*LEN("K166"))</f>
        <v/>
      </c>
      <c r="L166" s="45" t="str">
        <f>IF(K166="","",(MIN(EDATE(K166,1),'Навигатор накоплений'!F22))+0*LEN("L166"))</f>
        <v/>
      </c>
      <c r="M166" s="46" t="str">
        <f>IF(L166="","",(ROUND(M165*(1+'Навигатор накоплений'!D22*(IF(YEAR(K166)=YEAR(L166-1),(L166-K166)/(DATE(YEAR(K166),12,31)-DATE(YEAR(K166),1,1)+1),(DATE(YEAR(K166)+1,1,1)-K166)/(DATE(YEAR(K166),12,31)-DATE(YEAR(K166),1,1)+1)+(L166-DATE(YEAR(L166),1,1))/(DATE(YEAR(L166),12,31)-DATE(YEAR(L166),1,1)+1)))),2)+IF(L166&lt;'Навигатор накоплений'!F22,N('Навигатор накоплений'!G22),0))+0*LEN("M166"))</f>
        <v/>
      </c>
      <c r="N166" s="45" t="str">
        <f>IF(OR(O165="",O165&gt;='Навигатор накоплений'!F23),"",(O165)+0*LEN("N166"))</f>
        <v/>
      </c>
      <c r="O166" s="45" t="str">
        <f>IF(N166="","",(MIN(EDATE(N166,1),'Навигатор накоплений'!F23))+0*LEN("O166"))</f>
        <v/>
      </c>
      <c r="P166" s="46" t="str">
        <f>IF(O166="","",(ROUND(P165*(1+'Навигатор накоплений'!D23*(IF(YEAR(N166)=YEAR(O166-1),(O166-N166)/(DATE(YEAR(N166),12,31)-DATE(YEAR(N166),1,1)+1),(DATE(YEAR(N166)+1,1,1)-N166)/(DATE(YEAR(N166),12,31)-DATE(YEAR(N166),1,1)+1)+(O166-DATE(YEAR(O166),1,1))/(DATE(YEAR(O166),12,31)-DATE(YEAR(O166),1,1)+1)))),2)+IF(O166&lt;'Навигатор накоплений'!F23,N('Навигатор накоплений'!G23),0))+0*LEN("P166"))</f>
        <v/>
      </c>
      <c r="Q166" s="45" t="str">
        <f>IF(OR(R165="",R165&gt;='Навигатор накоплений'!F24),"",(R165)+0*LEN("Q166"))</f>
        <v/>
      </c>
      <c r="R166" s="45" t="str">
        <f>IF(Q166="","",(MIN(EDATE(Q166,1),'Навигатор накоплений'!F24))+0*LEN("R166"))</f>
        <v/>
      </c>
      <c r="S166" s="46" t="str">
        <f>IF(R166="","",(ROUND(S165*(1+'Навигатор накоплений'!D24*(IF(YEAR(Q166)=YEAR(R166-1),(R166-Q166)/(DATE(YEAR(Q166),12,31)-DATE(YEAR(Q166),1,1)+1),(DATE(YEAR(Q166)+1,1,1)-Q166)/(DATE(YEAR(Q166),12,31)-DATE(YEAR(Q166),1,1)+1)+(R166-DATE(YEAR(R166),1,1))/(DATE(YEAR(R166),12,31)-DATE(YEAR(R166),1,1)+1)))),2)+IF(R166&lt;'Навигатор накоплений'!F24,N('Навигатор накоплений'!G24),0))+0*LEN("S166"))</f>
        <v/>
      </c>
      <c r="T166" s="45" t="str">
        <f>IF(OR(U165="",U165&gt;='Навигатор накоплений'!F27),"",(U165)+0*LEN("T166"))</f>
        <v/>
      </c>
      <c r="U166" s="45" t="str">
        <f>IF(T166="","",(MIN(EDATE(T166,1),'Навигатор накоплений'!F27))+0*LEN("U166"))</f>
        <v/>
      </c>
      <c r="V166" s="46" t="str">
        <f>IF(U166="","",(ROUND(V165*(1+'Навигатор накоплений'!D27*(IF(YEAR(T166)=YEAR(U166-1),(U166-T166)/(DATE(YEAR(T166),12,31)-DATE(YEAR(T166),1,1)+1),(DATE(YEAR(T166)+1,1,1)-T166)/(DATE(YEAR(T166),12,31)-DATE(YEAR(T166),1,1)+1)+(U166-DATE(YEAR(U166),1,1))/(DATE(YEAR(U166),12,31)-DATE(YEAR(U166),1,1)+1)))),2)+IF(U166&lt;'Навигатор накоплений'!F27,N('Навигатор накоплений'!G27),0))+0*LEN("V166"))</f>
        <v/>
      </c>
    </row>
    <row r="167" spans="1:22" ht="15" x14ac:dyDescent="0.2">
      <c r="A167"/>
      <c r="B167"/>
      <c r="C167"/>
      <c r="D167" t="str">
        <f t="shared" si="51"/>
        <v/>
      </c>
      <c r="E167"/>
      <c r="F167"/>
      <c r="G167" t="str">
        <f t="shared" si="49"/>
        <v/>
      </c>
      <c r="H167"/>
      <c r="I167" t="str">
        <f t="shared" si="50"/>
        <v/>
      </c>
      <c r="K167" s="45" t="str">
        <f>IF(OR(L166="",L166&gt;='Навигатор накоплений'!F22),"",(L166)+0*LEN("K167"))</f>
        <v/>
      </c>
      <c r="L167" s="45" t="str">
        <f>IF(K167="","",(MIN(EDATE(K167,1),'Навигатор накоплений'!F22))+0*LEN("L167"))</f>
        <v/>
      </c>
      <c r="M167" s="46" t="str">
        <f>IF(L167="","",(ROUND(M166*(1+'Навигатор накоплений'!D22*(IF(YEAR(K167)=YEAR(L167-1),(L167-K167)/(DATE(YEAR(K167),12,31)-DATE(YEAR(K167),1,1)+1),(DATE(YEAR(K167)+1,1,1)-K167)/(DATE(YEAR(K167),12,31)-DATE(YEAR(K167),1,1)+1)+(L167-DATE(YEAR(L167),1,1))/(DATE(YEAR(L167),12,31)-DATE(YEAR(L167),1,1)+1)))),2)+IF(L167&lt;'Навигатор накоплений'!F22,N('Навигатор накоплений'!G22),0))+0*LEN("M167"))</f>
        <v/>
      </c>
      <c r="N167" s="45" t="str">
        <f>IF(OR(O166="",O166&gt;='Навигатор накоплений'!F23),"",(O166)+0*LEN("N167"))</f>
        <v/>
      </c>
      <c r="O167" s="45" t="str">
        <f>IF(N167="","",(MIN(EDATE(N167,1),'Навигатор накоплений'!F23))+0*LEN("O167"))</f>
        <v/>
      </c>
      <c r="P167" s="46" t="str">
        <f>IF(O167="","",(ROUND(P166*(1+'Навигатор накоплений'!D23*(IF(YEAR(N167)=YEAR(O167-1),(O167-N167)/(DATE(YEAR(N167),12,31)-DATE(YEAR(N167),1,1)+1),(DATE(YEAR(N167)+1,1,1)-N167)/(DATE(YEAR(N167),12,31)-DATE(YEAR(N167),1,1)+1)+(O167-DATE(YEAR(O167),1,1))/(DATE(YEAR(O167),12,31)-DATE(YEAR(O167),1,1)+1)))),2)+IF(O167&lt;'Навигатор накоплений'!F23,N('Навигатор накоплений'!G23),0))+0*LEN("P167"))</f>
        <v/>
      </c>
      <c r="Q167" s="45" t="str">
        <f>IF(OR(R166="",R166&gt;='Навигатор накоплений'!F24),"",(R166)+0*LEN("Q167"))</f>
        <v/>
      </c>
      <c r="R167" s="45" t="str">
        <f>IF(Q167="","",(MIN(EDATE(Q167,1),'Навигатор накоплений'!F24))+0*LEN("R167"))</f>
        <v/>
      </c>
      <c r="S167" s="46" t="str">
        <f>IF(R167="","",(ROUND(S166*(1+'Навигатор накоплений'!D24*(IF(YEAR(Q167)=YEAR(R167-1),(R167-Q167)/(DATE(YEAR(Q167),12,31)-DATE(YEAR(Q167),1,1)+1),(DATE(YEAR(Q167)+1,1,1)-Q167)/(DATE(YEAR(Q167),12,31)-DATE(YEAR(Q167),1,1)+1)+(R167-DATE(YEAR(R167),1,1))/(DATE(YEAR(R167),12,31)-DATE(YEAR(R167),1,1)+1)))),2)+IF(R167&lt;'Навигатор накоплений'!F24,N('Навигатор накоплений'!G24),0))+0*LEN("S167"))</f>
        <v/>
      </c>
      <c r="T167" s="45" t="str">
        <f>IF(OR(U166="",U166&gt;='Навигатор накоплений'!F27),"",(U166)+0*LEN("T167"))</f>
        <v/>
      </c>
      <c r="U167" s="45" t="str">
        <f>IF(T167="","",(MIN(EDATE(T167,1),'Навигатор накоплений'!F27))+0*LEN("U167"))</f>
        <v/>
      </c>
      <c r="V167" s="46" t="str">
        <f>IF(U167="","",(ROUND(V166*(1+'Навигатор накоплений'!D27*(IF(YEAR(T167)=YEAR(U167-1),(U167-T167)/(DATE(YEAR(T167),12,31)-DATE(YEAR(T167),1,1)+1),(DATE(YEAR(T167)+1,1,1)-T167)/(DATE(YEAR(T167),12,31)-DATE(YEAR(T167),1,1)+1)+(U167-DATE(YEAR(U167),1,1))/(DATE(YEAR(U167),12,31)-DATE(YEAR(U167),1,1)+1)))),2)+IF(U167&lt;'Навигатор накоплений'!F27,N('Навигатор накоплений'!G27),0))+0*LEN("V167"))</f>
        <v/>
      </c>
    </row>
    <row r="168" spans="1:22" ht="15" x14ac:dyDescent="0.2">
      <c r="A168"/>
      <c r="B168"/>
      <c r="C168"/>
      <c r="D168" t="str">
        <f t="shared" si="51"/>
        <v/>
      </c>
      <c r="E168"/>
      <c r="F168"/>
      <c r="G168" t="str">
        <f t="shared" si="49"/>
        <v/>
      </c>
      <c r="H168"/>
      <c r="I168" t="str">
        <f t="shared" si="50"/>
        <v/>
      </c>
      <c r="K168" s="45" t="str">
        <f>IF(OR(L167="",L167&gt;='Навигатор накоплений'!F22),"",(L167)+0*LEN("K168"))</f>
        <v/>
      </c>
      <c r="L168" s="45" t="str">
        <f>IF(K168="","",(MIN(EDATE(K168,1),'Навигатор накоплений'!F22))+0*LEN("L168"))</f>
        <v/>
      </c>
      <c r="M168" s="46" t="str">
        <f>IF(L168="","",(ROUND(M167*(1+'Навигатор накоплений'!D22*(IF(YEAR(K168)=YEAR(L168-1),(L168-K168)/(DATE(YEAR(K168),12,31)-DATE(YEAR(K168),1,1)+1),(DATE(YEAR(K168)+1,1,1)-K168)/(DATE(YEAR(K168),12,31)-DATE(YEAR(K168),1,1)+1)+(L168-DATE(YEAR(L168),1,1))/(DATE(YEAR(L168),12,31)-DATE(YEAR(L168),1,1)+1)))),2)+IF(L168&lt;'Навигатор накоплений'!F22,N('Навигатор накоплений'!G22),0))+0*LEN("M168"))</f>
        <v/>
      </c>
      <c r="N168" s="45" t="str">
        <f>IF(OR(O167="",O167&gt;='Навигатор накоплений'!F23),"",(O167)+0*LEN("N168"))</f>
        <v/>
      </c>
      <c r="O168" s="45" t="str">
        <f>IF(N168="","",(MIN(EDATE(N168,1),'Навигатор накоплений'!F23))+0*LEN("O168"))</f>
        <v/>
      </c>
      <c r="P168" s="46" t="str">
        <f>IF(O168="","",(ROUND(P167*(1+'Навигатор накоплений'!D23*(IF(YEAR(N168)=YEAR(O168-1),(O168-N168)/(DATE(YEAR(N168),12,31)-DATE(YEAR(N168),1,1)+1),(DATE(YEAR(N168)+1,1,1)-N168)/(DATE(YEAR(N168),12,31)-DATE(YEAR(N168),1,1)+1)+(O168-DATE(YEAR(O168),1,1))/(DATE(YEAR(O168),12,31)-DATE(YEAR(O168),1,1)+1)))),2)+IF(O168&lt;'Навигатор накоплений'!F23,N('Навигатор накоплений'!G23),0))+0*LEN("P168"))</f>
        <v/>
      </c>
      <c r="Q168" s="45" t="str">
        <f>IF(OR(R167="",R167&gt;='Навигатор накоплений'!F24),"",(R167)+0*LEN("Q168"))</f>
        <v/>
      </c>
      <c r="R168" s="45" t="str">
        <f>IF(Q168="","",(MIN(EDATE(Q168,1),'Навигатор накоплений'!F24))+0*LEN("R168"))</f>
        <v/>
      </c>
      <c r="S168" s="46" t="str">
        <f>IF(R168="","",(ROUND(S167*(1+'Навигатор накоплений'!D24*(IF(YEAR(Q168)=YEAR(R168-1),(R168-Q168)/(DATE(YEAR(Q168),12,31)-DATE(YEAR(Q168),1,1)+1),(DATE(YEAR(Q168)+1,1,1)-Q168)/(DATE(YEAR(Q168),12,31)-DATE(YEAR(Q168),1,1)+1)+(R168-DATE(YEAR(R168),1,1))/(DATE(YEAR(R168),12,31)-DATE(YEAR(R168),1,1)+1)))),2)+IF(R168&lt;'Навигатор накоплений'!F24,N('Навигатор накоплений'!G24),0))+0*LEN("S168"))</f>
        <v/>
      </c>
      <c r="T168" s="45" t="str">
        <f>IF(OR(U167="",U167&gt;='Навигатор накоплений'!F27),"",(U167)+0*LEN("T168"))</f>
        <v/>
      </c>
      <c r="U168" s="45" t="str">
        <f>IF(T168="","",(MIN(EDATE(T168,1),'Навигатор накоплений'!F27))+0*LEN("U168"))</f>
        <v/>
      </c>
      <c r="V168" s="46" t="str">
        <f>IF(U168="","",(ROUND(V167*(1+'Навигатор накоплений'!D27*(IF(YEAR(T168)=YEAR(U168-1),(U168-T168)/(DATE(YEAR(T168),12,31)-DATE(YEAR(T168),1,1)+1),(DATE(YEAR(T168)+1,1,1)-T168)/(DATE(YEAR(T168),12,31)-DATE(YEAR(T168),1,1)+1)+(U168-DATE(YEAR(U168),1,1))/(DATE(YEAR(U168),12,31)-DATE(YEAR(U168),1,1)+1)))),2)+IF(U168&lt;'Навигатор накоплений'!F27,N('Навигатор накоплений'!G27),0))+0*LEN("V168"))</f>
        <v/>
      </c>
    </row>
    <row r="169" spans="1:22" ht="15" x14ac:dyDescent="0.2">
      <c r="A169"/>
      <c r="B169"/>
      <c r="C169"/>
      <c r="D169" t="str">
        <f t="shared" si="51"/>
        <v/>
      </c>
      <c r="E169"/>
      <c r="F169"/>
      <c r="G169" t="str">
        <f t="shared" si="49"/>
        <v/>
      </c>
      <c r="H169"/>
      <c r="I169" t="str">
        <f t="shared" si="50"/>
        <v/>
      </c>
      <c r="K169" s="45" t="str">
        <f>IF(OR(L168="",L168&gt;='Навигатор накоплений'!F22),"",(L168)+0*LEN("K169"))</f>
        <v/>
      </c>
      <c r="L169" s="45" t="str">
        <f>IF(K169="","",(MIN(EDATE(K169,1),'Навигатор накоплений'!F22))+0*LEN("L169"))</f>
        <v/>
      </c>
      <c r="M169" s="46" t="str">
        <f>IF(L169="","",(ROUND(M168*(1+'Навигатор накоплений'!D22*(IF(YEAR(K169)=YEAR(L169-1),(L169-K169)/(DATE(YEAR(K169),12,31)-DATE(YEAR(K169),1,1)+1),(DATE(YEAR(K169)+1,1,1)-K169)/(DATE(YEAR(K169),12,31)-DATE(YEAR(K169),1,1)+1)+(L169-DATE(YEAR(L169),1,1))/(DATE(YEAR(L169),12,31)-DATE(YEAR(L169),1,1)+1)))),2)+IF(L169&lt;'Навигатор накоплений'!F22,N('Навигатор накоплений'!G22),0))+0*LEN("M169"))</f>
        <v/>
      </c>
      <c r="N169" s="45" t="str">
        <f>IF(OR(O168="",O168&gt;='Навигатор накоплений'!F23),"",(O168)+0*LEN("N169"))</f>
        <v/>
      </c>
      <c r="O169" s="45" t="str">
        <f>IF(N169="","",(MIN(EDATE(N169,1),'Навигатор накоплений'!F23))+0*LEN("O169"))</f>
        <v/>
      </c>
      <c r="P169" s="46" t="str">
        <f>IF(O169="","",(ROUND(P168*(1+'Навигатор накоплений'!D23*(IF(YEAR(N169)=YEAR(O169-1),(O169-N169)/(DATE(YEAR(N169),12,31)-DATE(YEAR(N169),1,1)+1),(DATE(YEAR(N169)+1,1,1)-N169)/(DATE(YEAR(N169),12,31)-DATE(YEAR(N169),1,1)+1)+(O169-DATE(YEAR(O169),1,1))/(DATE(YEAR(O169),12,31)-DATE(YEAR(O169),1,1)+1)))),2)+IF(O169&lt;'Навигатор накоплений'!F23,N('Навигатор накоплений'!G23),0))+0*LEN("P169"))</f>
        <v/>
      </c>
      <c r="Q169" s="45" t="str">
        <f>IF(OR(R168="",R168&gt;='Навигатор накоплений'!F24),"",(R168)+0*LEN("Q169"))</f>
        <v/>
      </c>
      <c r="R169" s="45" t="str">
        <f>IF(Q169="","",(MIN(EDATE(Q169,1),'Навигатор накоплений'!F24))+0*LEN("R169"))</f>
        <v/>
      </c>
      <c r="S169" s="46" t="str">
        <f>IF(R169="","",(ROUND(S168*(1+'Навигатор накоплений'!D24*(IF(YEAR(Q169)=YEAR(R169-1),(R169-Q169)/(DATE(YEAR(Q169),12,31)-DATE(YEAR(Q169),1,1)+1),(DATE(YEAR(Q169)+1,1,1)-Q169)/(DATE(YEAR(Q169),12,31)-DATE(YEAR(Q169),1,1)+1)+(R169-DATE(YEAR(R169),1,1))/(DATE(YEAR(R169),12,31)-DATE(YEAR(R169),1,1)+1)))),2)+IF(R169&lt;'Навигатор накоплений'!F24,N('Навигатор накоплений'!G24),0))+0*LEN("S169"))</f>
        <v/>
      </c>
      <c r="T169" s="45" t="str">
        <f>IF(OR(U168="",U168&gt;='Навигатор накоплений'!F27),"",(U168)+0*LEN("T169"))</f>
        <v/>
      </c>
      <c r="U169" s="45" t="str">
        <f>IF(T169="","",(MIN(EDATE(T169,1),'Навигатор накоплений'!F27))+0*LEN("U169"))</f>
        <v/>
      </c>
      <c r="V169" s="46" t="str">
        <f>IF(U169="","",(ROUND(V168*(1+'Навигатор накоплений'!D27*(IF(YEAR(T169)=YEAR(U169-1),(U169-T169)/(DATE(YEAR(T169),12,31)-DATE(YEAR(T169),1,1)+1),(DATE(YEAR(T169)+1,1,1)-T169)/(DATE(YEAR(T169),12,31)-DATE(YEAR(T169),1,1)+1)+(U169-DATE(YEAR(U169),1,1))/(DATE(YEAR(U169),12,31)-DATE(YEAR(U169),1,1)+1)))),2)+IF(U169&lt;'Навигатор накоплений'!F27,N('Навигатор накоплений'!G27),0))+0*LEN("V169"))</f>
        <v/>
      </c>
    </row>
    <row r="170" spans="1:22" ht="15" x14ac:dyDescent="0.2">
      <c r="A170"/>
      <c r="B170"/>
      <c r="C170"/>
      <c r="D170" t="str">
        <f t="shared" si="51"/>
        <v/>
      </c>
      <c r="E170"/>
      <c r="F170"/>
      <c r="G170" t="str">
        <f t="shared" si="49"/>
        <v/>
      </c>
      <c r="H170"/>
      <c r="I170" t="str">
        <f t="shared" si="50"/>
        <v/>
      </c>
      <c r="K170" s="45" t="str">
        <f>IF(OR(L169="",L169&gt;='Навигатор накоплений'!F22),"",(L169)+0*LEN("K170"))</f>
        <v/>
      </c>
      <c r="L170" s="45" t="str">
        <f>IF(K170="","",(MIN(EDATE(K170,1),'Навигатор накоплений'!F22))+0*LEN("L170"))</f>
        <v/>
      </c>
      <c r="M170" s="46" t="str">
        <f>IF(L170="","",(ROUND(M169*(1+'Навигатор накоплений'!D22*(IF(YEAR(K170)=YEAR(L170-1),(L170-K170)/(DATE(YEAR(K170),12,31)-DATE(YEAR(K170),1,1)+1),(DATE(YEAR(K170)+1,1,1)-K170)/(DATE(YEAR(K170),12,31)-DATE(YEAR(K170),1,1)+1)+(L170-DATE(YEAR(L170),1,1))/(DATE(YEAR(L170),12,31)-DATE(YEAR(L170),1,1)+1)))),2)+IF(L170&lt;'Навигатор накоплений'!F22,N('Навигатор накоплений'!G22),0))+0*LEN("M170"))</f>
        <v/>
      </c>
      <c r="N170" s="45" t="str">
        <f>IF(OR(O169="",O169&gt;='Навигатор накоплений'!F23),"",(O169)+0*LEN("N170"))</f>
        <v/>
      </c>
      <c r="O170" s="45" t="str">
        <f>IF(N170="","",(MIN(EDATE(N170,1),'Навигатор накоплений'!F23))+0*LEN("O170"))</f>
        <v/>
      </c>
      <c r="P170" s="46" t="str">
        <f>IF(O170="","",(ROUND(P169*(1+'Навигатор накоплений'!D23*(IF(YEAR(N170)=YEAR(O170-1),(O170-N170)/(DATE(YEAR(N170),12,31)-DATE(YEAR(N170),1,1)+1),(DATE(YEAR(N170)+1,1,1)-N170)/(DATE(YEAR(N170),12,31)-DATE(YEAR(N170),1,1)+1)+(O170-DATE(YEAR(O170),1,1))/(DATE(YEAR(O170),12,31)-DATE(YEAR(O170),1,1)+1)))),2)+IF(O170&lt;'Навигатор накоплений'!F23,N('Навигатор накоплений'!G23),0))+0*LEN("P170"))</f>
        <v/>
      </c>
      <c r="Q170" s="45" t="str">
        <f>IF(OR(R169="",R169&gt;='Навигатор накоплений'!F24),"",(R169)+0*LEN("Q170"))</f>
        <v/>
      </c>
      <c r="R170" s="45" t="str">
        <f>IF(Q170="","",(MIN(EDATE(Q170,1),'Навигатор накоплений'!F24))+0*LEN("R170"))</f>
        <v/>
      </c>
      <c r="S170" s="46" t="str">
        <f>IF(R170="","",(ROUND(S169*(1+'Навигатор накоплений'!D24*(IF(YEAR(Q170)=YEAR(R170-1),(R170-Q170)/(DATE(YEAR(Q170),12,31)-DATE(YEAR(Q170),1,1)+1),(DATE(YEAR(Q170)+1,1,1)-Q170)/(DATE(YEAR(Q170),12,31)-DATE(YEAR(Q170),1,1)+1)+(R170-DATE(YEAR(R170),1,1))/(DATE(YEAR(R170),12,31)-DATE(YEAR(R170),1,1)+1)))),2)+IF(R170&lt;'Навигатор накоплений'!F24,N('Навигатор накоплений'!G24),0))+0*LEN("S170"))</f>
        <v/>
      </c>
      <c r="T170" s="45" t="str">
        <f>IF(OR(U169="",U169&gt;='Навигатор накоплений'!F27),"",(U169)+0*LEN("T170"))</f>
        <v/>
      </c>
      <c r="U170" s="45" t="str">
        <f>IF(T170="","",(MIN(EDATE(T170,1),'Навигатор накоплений'!F27))+0*LEN("U170"))</f>
        <v/>
      </c>
      <c r="V170" s="46" t="str">
        <f>IF(U170="","",(ROUND(V169*(1+'Навигатор накоплений'!D27*(IF(YEAR(T170)=YEAR(U170-1),(U170-T170)/(DATE(YEAR(T170),12,31)-DATE(YEAR(T170),1,1)+1),(DATE(YEAR(T170)+1,1,1)-T170)/(DATE(YEAR(T170),12,31)-DATE(YEAR(T170),1,1)+1)+(U170-DATE(YEAR(U170),1,1))/(DATE(YEAR(U170),12,31)-DATE(YEAR(U170),1,1)+1)))),2)+IF(U170&lt;'Навигатор накоплений'!F27,N('Навигатор накоплений'!G27),0))+0*LEN("V170"))</f>
        <v/>
      </c>
    </row>
    <row r="171" spans="1:22" ht="15" x14ac:dyDescent="0.2">
      <c r="A171"/>
      <c r="B171"/>
      <c r="C171"/>
      <c r="D171" t="str">
        <f t="shared" si="51"/>
        <v/>
      </c>
      <c r="E171"/>
      <c r="F171"/>
      <c r="G171" t="str">
        <f t="shared" si="49"/>
        <v/>
      </c>
      <c r="H171"/>
      <c r="I171" t="str">
        <f t="shared" si="50"/>
        <v/>
      </c>
      <c r="K171" s="45" t="str">
        <f>IF(OR(L170="",L170&gt;='Навигатор накоплений'!F22),"",(L170)+0*LEN("K171"))</f>
        <v/>
      </c>
      <c r="L171" s="45" t="str">
        <f>IF(K171="","",(MIN(EDATE(K171,1),'Навигатор накоплений'!F22))+0*LEN("L171"))</f>
        <v/>
      </c>
      <c r="M171" s="46" t="str">
        <f>IF(L171="","",(ROUND(M170*(1+'Навигатор накоплений'!D22*(IF(YEAR(K171)=YEAR(L171-1),(L171-K171)/(DATE(YEAR(K171),12,31)-DATE(YEAR(K171),1,1)+1),(DATE(YEAR(K171)+1,1,1)-K171)/(DATE(YEAR(K171),12,31)-DATE(YEAR(K171),1,1)+1)+(L171-DATE(YEAR(L171),1,1))/(DATE(YEAR(L171),12,31)-DATE(YEAR(L171),1,1)+1)))),2)+IF(L171&lt;'Навигатор накоплений'!F22,N('Навигатор накоплений'!G22),0))+0*LEN("M171"))</f>
        <v/>
      </c>
      <c r="N171" s="45" t="str">
        <f>IF(OR(O170="",O170&gt;='Навигатор накоплений'!F23),"",(O170)+0*LEN("N171"))</f>
        <v/>
      </c>
      <c r="O171" s="45" t="str">
        <f>IF(N171="","",(MIN(EDATE(N171,1),'Навигатор накоплений'!F23))+0*LEN("O171"))</f>
        <v/>
      </c>
      <c r="P171" s="46" t="str">
        <f>IF(O171="","",(ROUND(P170*(1+'Навигатор накоплений'!D23*(IF(YEAR(N171)=YEAR(O171-1),(O171-N171)/(DATE(YEAR(N171),12,31)-DATE(YEAR(N171),1,1)+1),(DATE(YEAR(N171)+1,1,1)-N171)/(DATE(YEAR(N171),12,31)-DATE(YEAR(N171),1,1)+1)+(O171-DATE(YEAR(O171),1,1))/(DATE(YEAR(O171),12,31)-DATE(YEAR(O171),1,1)+1)))),2)+IF(O171&lt;'Навигатор накоплений'!F23,N('Навигатор накоплений'!G23),0))+0*LEN("P171"))</f>
        <v/>
      </c>
      <c r="Q171" s="45" t="str">
        <f>IF(OR(R170="",R170&gt;='Навигатор накоплений'!F24),"",(R170)+0*LEN("Q171"))</f>
        <v/>
      </c>
      <c r="R171" s="45" t="str">
        <f>IF(Q171="","",(MIN(EDATE(Q171,1),'Навигатор накоплений'!F24))+0*LEN("R171"))</f>
        <v/>
      </c>
      <c r="S171" s="46" t="str">
        <f>IF(R171="","",(ROUND(S170*(1+'Навигатор накоплений'!D24*(IF(YEAR(Q171)=YEAR(R171-1),(R171-Q171)/(DATE(YEAR(Q171),12,31)-DATE(YEAR(Q171),1,1)+1),(DATE(YEAR(Q171)+1,1,1)-Q171)/(DATE(YEAR(Q171),12,31)-DATE(YEAR(Q171),1,1)+1)+(R171-DATE(YEAR(R171),1,1))/(DATE(YEAR(R171),12,31)-DATE(YEAR(R171),1,1)+1)))),2)+IF(R171&lt;'Навигатор накоплений'!F24,N('Навигатор накоплений'!G24),0))+0*LEN("S171"))</f>
        <v/>
      </c>
      <c r="T171" s="45" t="str">
        <f>IF(OR(U170="",U170&gt;='Навигатор накоплений'!F27),"",(U170)+0*LEN("T171"))</f>
        <v/>
      </c>
      <c r="U171" s="45" t="str">
        <f>IF(T171="","",(MIN(EDATE(T171,1),'Навигатор накоплений'!F27))+0*LEN("U171"))</f>
        <v/>
      </c>
      <c r="V171" s="46" t="str">
        <f>IF(U171="","",(ROUND(V170*(1+'Навигатор накоплений'!D27*(IF(YEAR(T171)=YEAR(U171-1),(U171-T171)/(DATE(YEAR(T171),12,31)-DATE(YEAR(T171),1,1)+1),(DATE(YEAR(T171)+1,1,1)-T171)/(DATE(YEAR(T171),12,31)-DATE(YEAR(T171),1,1)+1)+(U171-DATE(YEAR(U171),1,1))/(DATE(YEAR(U171),12,31)-DATE(YEAR(U171),1,1)+1)))),2)+IF(U171&lt;'Навигатор накоплений'!F27,N('Навигатор накоплений'!G27),0))+0*LEN("V171"))</f>
        <v/>
      </c>
    </row>
    <row r="172" spans="1:22" ht="15" x14ac:dyDescent="0.2">
      <c r="A172"/>
      <c r="B172"/>
      <c r="C172"/>
      <c r="D172" t="str">
        <f t="shared" si="51"/>
        <v/>
      </c>
      <c r="E172"/>
      <c r="F172"/>
      <c r="G172" t="str">
        <f t="shared" si="49"/>
        <v/>
      </c>
      <c r="H172"/>
      <c r="I172" t="str">
        <f t="shared" si="50"/>
        <v/>
      </c>
      <c r="K172" s="45" t="str">
        <f>IF(OR(L171="",L171&gt;='Навигатор накоплений'!F22),"",(L171)+0*LEN("K172"))</f>
        <v/>
      </c>
      <c r="L172" s="45" t="str">
        <f>IF(K172="","",(MIN(EDATE(K172,1),'Навигатор накоплений'!F22))+0*LEN("L172"))</f>
        <v/>
      </c>
      <c r="M172" s="46" t="str">
        <f>IF(L172="","",(ROUND(M171*(1+'Навигатор накоплений'!D22*(IF(YEAR(K172)=YEAR(L172-1),(L172-K172)/(DATE(YEAR(K172),12,31)-DATE(YEAR(K172),1,1)+1),(DATE(YEAR(K172)+1,1,1)-K172)/(DATE(YEAR(K172),12,31)-DATE(YEAR(K172),1,1)+1)+(L172-DATE(YEAR(L172),1,1))/(DATE(YEAR(L172),12,31)-DATE(YEAR(L172),1,1)+1)))),2)+IF(L172&lt;'Навигатор накоплений'!F22,N('Навигатор накоплений'!G22),0))+0*LEN("M172"))</f>
        <v/>
      </c>
      <c r="N172" s="45" t="str">
        <f>IF(OR(O171="",O171&gt;='Навигатор накоплений'!F23),"",(O171)+0*LEN("N172"))</f>
        <v/>
      </c>
      <c r="O172" s="45" t="str">
        <f>IF(N172="","",(MIN(EDATE(N172,1),'Навигатор накоплений'!F23))+0*LEN("O172"))</f>
        <v/>
      </c>
      <c r="P172" s="46" t="str">
        <f>IF(O172="","",(ROUND(P171*(1+'Навигатор накоплений'!D23*(IF(YEAR(N172)=YEAR(O172-1),(O172-N172)/(DATE(YEAR(N172),12,31)-DATE(YEAR(N172),1,1)+1),(DATE(YEAR(N172)+1,1,1)-N172)/(DATE(YEAR(N172),12,31)-DATE(YEAR(N172),1,1)+1)+(O172-DATE(YEAR(O172),1,1))/(DATE(YEAR(O172),12,31)-DATE(YEAR(O172),1,1)+1)))),2)+IF(O172&lt;'Навигатор накоплений'!F23,N('Навигатор накоплений'!G23),0))+0*LEN("P172"))</f>
        <v/>
      </c>
      <c r="Q172" s="45" t="str">
        <f>IF(OR(R171="",R171&gt;='Навигатор накоплений'!F24),"",(R171)+0*LEN("Q172"))</f>
        <v/>
      </c>
      <c r="R172" s="45" t="str">
        <f>IF(Q172="","",(MIN(EDATE(Q172,1),'Навигатор накоплений'!F24))+0*LEN("R172"))</f>
        <v/>
      </c>
      <c r="S172" s="46" t="str">
        <f>IF(R172="","",(ROUND(S171*(1+'Навигатор накоплений'!D24*(IF(YEAR(Q172)=YEAR(R172-1),(R172-Q172)/(DATE(YEAR(Q172),12,31)-DATE(YEAR(Q172),1,1)+1),(DATE(YEAR(Q172)+1,1,1)-Q172)/(DATE(YEAR(Q172),12,31)-DATE(YEAR(Q172),1,1)+1)+(R172-DATE(YEAR(R172),1,1))/(DATE(YEAR(R172),12,31)-DATE(YEAR(R172),1,1)+1)))),2)+IF(R172&lt;'Навигатор накоплений'!F24,N('Навигатор накоплений'!G24),0))+0*LEN("S172"))</f>
        <v/>
      </c>
      <c r="T172" s="45" t="str">
        <f>IF(OR(U171="",U171&gt;='Навигатор накоплений'!F27),"",(U171)+0*LEN("T172"))</f>
        <v/>
      </c>
      <c r="U172" s="45" t="str">
        <f>IF(T172="","",(MIN(EDATE(T172,1),'Навигатор накоплений'!F27))+0*LEN("U172"))</f>
        <v/>
      </c>
      <c r="V172" s="46" t="str">
        <f>IF(U172="","",(ROUND(V171*(1+'Навигатор накоплений'!D27*(IF(YEAR(T172)=YEAR(U172-1),(U172-T172)/(DATE(YEAR(T172),12,31)-DATE(YEAR(T172),1,1)+1),(DATE(YEAR(T172)+1,1,1)-T172)/(DATE(YEAR(T172),12,31)-DATE(YEAR(T172),1,1)+1)+(U172-DATE(YEAR(U172),1,1))/(DATE(YEAR(U172),12,31)-DATE(YEAR(U172),1,1)+1)))),2)+IF(U172&lt;'Навигатор накоплений'!F27,N('Навигатор накоплений'!G27),0))+0*LEN("V172"))</f>
        <v/>
      </c>
    </row>
    <row r="173" spans="1:22" ht="15" x14ac:dyDescent="0.2">
      <c r="A173"/>
      <c r="B173"/>
      <c r="C173"/>
      <c r="D173" t="str">
        <f t="shared" si="51"/>
        <v/>
      </c>
      <c r="E173"/>
      <c r="F173"/>
      <c r="G173" t="str">
        <f t="shared" si="49"/>
        <v/>
      </c>
      <c r="H173"/>
      <c r="I173" t="str">
        <f t="shared" si="50"/>
        <v/>
      </c>
      <c r="K173" s="45" t="str">
        <f>IF(OR(L172="",L172&gt;='Навигатор накоплений'!F22),"",(L172)+0*LEN("K173"))</f>
        <v/>
      </c>
      <c r="L173" s="45" t="str">
        <f>IF(K173="","",(MIN(EDATE(K173,1),'Навигатор накоплений'!F22))+0*LEN("L173"))</f>
        <v/>
      </c>
      <c r="M173" s="46" t="str">
        <f>IF(L173="","",(ROUND(M172*(1+'Навигатор накоплений'!D22*(IF(YEAR(K173)=YEAR(L173-1),(L173-K173)/(DATE(YEAR(K173),12,31)-DATE(YEAR(K173),1,1)+1),(DATE(YEAR(K173)+1,1,1)-K173)/(DATE(YEAR(K173),12,31)-DATE(YEAR(K173),1,1)+1)+(L173-DATE(YEAR(L173),1,1))/(DATE(YEAR(L173),12,31)-DATE(YEAR(L173),1,1)+1)))),2)+IF(L173&lt;'Навигатор накоплений'!F22,N('Навигатор накоплений'!G22),0))+0*LEN("M173"))</f>
        <v/>
      </c>
      <c r="N173" s="45" t="str">
        <f>IF(OR(O172="",O172&gt;='Навигатор накоплений'!F23),"",(O172)+0*LEN("N173"))</f>
        <v/>
      </c>
      <c r="O173" s="45" t="str">
        <f>IF(N173="","",(MIN(EDATE(N173,1),'Навигатор накоплений'!F23))+0*LEN("O173"))</f>
        <v/>
      </c>
      <c r="P173" s="46" t="str">
        <f>IF(O173="","",(ROUND(P172*(1+'Навигатор накоплений'!D23*(IF(YEAR(N173)=YEAR(O173-1),(O173-N173)/(DATE(YEAR(N173),12,31)-DATE(YEAR(N173),1,1)+1),(DATE(YEAR(N173)+1,1,1)-N173)/(DATE(YEAR(N173),12,31)-DATE(YEAR(N173),1,1)+1)+(O173-DATE(YEAR(O173),1,1))/(DATE(YEAR(O173),12,31)-DATE(YEAR(O173),1,1)+1)))),2)+IF(O173&lt;'Навигатор накоплений'!F23,N('Навигатор накоплений'!G23),0))+0*LEN("P173"))</f>
        <v/>
      </c>
      <c r="Q173" s="45" t="str">
        <f>IF(OR(R172="",R172&gt;='Навигатор накоплений'!F24),"",(R172)+0*LEN("Q173"))</f>
        <v/>
      </c>
      <c r="R173" s="45" t="str">
        <f>IF(Q173="","",(MIN(EDATE(Q173,1),'Навигатор накоплений'!F24))+0*LEN("R173"))</f>
        <v/>
      </c>
      <c r="S173" s="46" t="str">
        <f>IF(R173="","",(ROUND(S172*(1+'Навигатор накоплений'!D24*(IF(YEAR(Q173)=YEAR(R173-1),(R173-Q173)/(DATE(YEAR(Q173),12,31)-DATE(YEAR(Q173),1,1)+1),(DATE(YEAR(Q173)+1,1,1)-Q173)/(DATE(YEAR(Q173),12,31)-DATE(YEAR(Q173),1,1)+1)+(R173-DATE(YEAR(R173),1,1))/(DATE(YEAR(R173),12,31)-DATE(YEAR(R173),1,1)+1)))),2)+IF(R173&lt;'Навигатор накоплений'!F24,N('Навигатор накоплений'!G24),0))+0*LEN("S173"))</f>
        <v/>
      </c>
      <c r="T173" s="45" t="str">
        <f>IF(OR(U172="",U172&gt;='Навигатор накоплений'!F27),"",(U172)+0*LEN("T173"))</f>
        <v/>
      </c>
      <c r="U173" s="45" t="str">
        <f>IF(T173="","",(MIN(EDATE(T173,1),'Навигатор накоплений'!F27))+0*LEN("U173"))</f>
        <v/>
      </c>
      <c r="V173" s="46" t="str">
        <f>IF(U173="","",(ROUND(V172*(1+'Навигатор накоплений'!D27*(IF(YEAR(T173)=YEAR(U173-1),(U173-T173)/(DATE(YEAR(T173),12,31)-DATE(YEAR(T173),1,1)+1),(DATE(YEAR(T173)+1,1,1)-T173)/(DATE(YEAR(T173),12,31)-DATE(YEAR(T173),1,1)+1)+(U173-DATE(YEAR(U173),1,1))/(DATE(YEAR(U173),12,31)-DATE(YEAR(U173),1,1)+1)))),2)+IF(U173&lt;'Навигатор накоплений'!F27,N('Навигатор накоплений'!G27),0))+0*LEN("V173"))</f>
        <v/>
      </c>
    </row>
    <row r="174" spans="1:22" ht="15" x14ac:dyDescent="0.2">
      <c r="A174"/>
      <c r="B174"/>
      <c r="C174"/>
      <c r="D174" t="str">
        <f t="shared" si="51"/>
        <v/>
      </c>
      <c r="E174"/>
      <c r="F174"/>
      <c r="G174" t="str">
        <f t="shared" si="49"/>
        <v/>
      </c>
      <c r="H174"/>
      <c r="I174" t="str">
        <f t="shared" si="50"/>
        <v/>
      </c>
      <c r="K174" s="45" t="str">
        <f>IF(OR(L173="",L173&gt;='Навигатор накоплений'!F22),"",(L173)+0*LEN("K174"))</f>
        <v/>
      </c>
      <c r="L174" s="45" t="str">
        <f>IF(K174="","",(MIN(EDATE(K174,1),'Навигатор накоплений'!F22))+0*LEN("L174"))</f>
        <v/>
      </c>
      <c r="M174" s="46" t="str">
        <f>IF(L174="","",(ROUND(M173*(1+'Навигатор накоплений'!D22*(IF(YEAR(K174)=YEAR(L174-1),(L174-K174)/(DATE(YEAR(K174),12,31)-DATE(YEAR(K174),1,1)+1),(DATE(YEAR(K174)+1,1,1)-K174)/(DATE(YEAR(K174),12,31)-DATE(YEAR(K174),1,1)+1)+(L174-DATE(YEAR(L174),1,1))/(DATE(YEAR(L174),12,31)-DATE(YEAR(L174),1,1)+1)))),2)+IF(L174&lt;'Навигатор накоплений'!F22,N('Навигатор накоплений'!G22),0))+0*LEN("M174"))</f>
        <v/>
      </c>
      <c r="N174" s="45" t="str">
        <f>IF(OR(O173="",O173&gt;='Навигатор накоплений'!F23),"",(O173)+0*LEN("N174"))</f>
        <v/>
      </c>
      <c r="O174" s="45" t="str">
        <f>IF(N174="","",(MIN(EDATE(N174,1),'Навигатор накоплений'!F23))+0*LEN("O174"))</f>
        <v/>
      </c>
      <c r="P174" s="46" t="str">
        <f>IF(O174="","",(ROUND(P173*(1+'Навигатор накоплений'!D23*(IF(YEAR(N174)=YEAR(O174-1),(O174-N174)/(DATE(YEAR(N174),12,31)-DATE(YEAR(N174),1,1)+1),(DATE(YEAR(N174)+1,1,1)-N174)/(DATE(YEAR(N174),12,31)-DATE(YEAR(N174),1,1)+1)+(O174-DATE(YEAR(O174),1,1))/(DATE(YEAR(O174),12,31)-DATE(YEAR(O174),1,1)+1)))),2)+IF(O174&lt;'Навигатор накоплений'!F23,N('Навигатор накоплений'!G23),0))+0*LEN("P174"))</f>
        <v/>
      </c>
      <c r="Q174" s="45" t="str">
        <f>IF(OR(R173="",R173&gt;='Навигатор накоплений'!F24),"",(R173)+0*LEN("Q174"))</f>
        <v/>
      </c>
      <c r="R174" s="45" t="str">
        <f>IF(Q174="","",(MIN(EDATE(Q174,1),'Навигатор накоплений'!F24))+0*LEN("R174"))</f>
        <v/>
      </c>
      <c r="S174" s="46" t="str">
        <f>IF(R174="","",(ROUND(S173*(1+'Навигатор накоплений'!D24*(IF(YEAR(Q174)=YEAR(R174-1),(R174-Q174)/(DATE(YEAR(Q174),12,31)-DATE(YEAR(Q174),1,1)+1),(DATE(YEAR(Q174)+1,1,1)-Q174)/(DATE(YEAR(Q174),12,31)-DATE(YEAR(Q174),1,1)+1)+(R174-DATE(YEAR(R174),1,1))/(DATE(YEAR(R174),12,31)-DATE(YEAR(R174),1,1)+1)))),2)+IF(R174&lt;'Навигатор накоплений'!F24,N('Навигатор накоплений'!G24),0))+0*LEN("S174"))</f>
        <v/>
      </c>
      <c r="T174" s="45" t="str">
        <f>IF(OR(U173="",U173&gt;='Навигатор накоплений'!F27),"",(U173)+0*LEN("T174"))</f>
        <v/>
      </c>
      <c r="U174" s="45" t="str">
        <f>IF(T174="","",(MIN(EDATE(T174,1),'Навигатор накоплений'!F27))+0*LEN("U174"))</f>
        <v/>
      </c>
      <c r="V174" s="46" t="str">
        <f>IF(U174="","",(ROUND(V173*(1+'Навигатор накоплений'!D27*(IF(YEAR(T174)=YEAR(U174-1),(U174-T174)/(DATE(YEAR(T174),12,31)-DATE(YEAR(T174),1,1)+1),(DATE(YEAR(T174)+1,1,1)-T174)/(DATE(YEAR(T174),12,31)-DATE(YEAR(T174),1,1)+1)+(U174-DATE(YEAR(U174),1,1))/(DATE(YEAR(U174),12,31)-DATE(YEAR(U174),1,1)+1)))),2)+IF(U174&lt;'Навигатор накоплений'!F27,N('Навигатор накоплений'!G27),0))+0*LEN("V174"))</f>
        <v/>
      </c>
    </row>
    <row r="175" spans="1:22" ht="15" x14ac:dyDescent="0.2">
      <c r="A175"/>
      <c r="B175"/>
      <c r="C175"/>
      <c r="D175"/>
      <c r="E175"/>
      <c r="F175"/>
      <c r="G175"/>
      <c r="H175"/>
      <c r="I175"/>
      <c r="K175" s="45" t="str">
        <f>IF(OR(L174="",L174&gt;='Навигатор накоплений'!F22),"",(L174)+0*LEN("K175"))</f>
        <v/>
      </c>
      <c r="L175" s="45" t="str">
        <f>IF(K175="","",(MIN(EDATE(K175,1),'Навигатор накоплений'!F22))+0*LEN("L175"))</f>
        <v/>
      </c>
      <c r="M175" s="46" t="str">
        <f>IF(L175="","",(ROUND(M174*(1+'Навигатор накоплений'!D22*(IF(YEAR(K175)=YEAR(L175-1),(L175-K175)/(DATE(YEAR(K175),12,31)-DATE(YEAR(K175),1,1)+1),(DATE(YEAR(K175)+1,1,1)-K175)/(DATE(YEAR(K175),12,31)-DATE(YEAR(K175),1,1)+1)+(L175-DATE(YEAR(L175),1,1))/(DATE(YEAR(L175),12,31)-DATE(YEAR(L175),1,1)+1)))),2)+IF(L175&lt;'Навигатор накоплений'!F22,N('Навигатор накоплений'!G22),0))+0*LEN("M175"))</f>
        <v/>
      </c>
      <c r="N175" s="45" t="str">
        <f>IF(OR(O174="",O174&gt;='Навигатор накоплений'!F23),"",(O174)+0*LEN("N175"))</f>
        <v/>
      </c>
      <c r="O175" s="45" t="str">
        <f>IF(N175="","",(MIN(EDATE(N175,1),'Навигатор накоплений'!F23))+0*LEN("O175"))</f>
        <v/>
      </c>
      <c r="P175" s="46" t="str">
        <f>IF(O175="","",(ROUND(P174*(1+'Навигатор накоплений'!D23*(IF(YEAR(N175)=YEAR(O175-1),(O175-N175)/(DATE(YEAR(N175),12,31)-DATE(YEAR(N175),1,1)+1),(DATE(YEAR(N175)+1,1,1)-N175)/(DATE(YEAR(N175),12,31)-DATE(YEAR(N175),1,1)+1)+(O175-DATE(YEAR(O175),1,1))/(DATE(YEAR(O175),12,31)-DATE(YEAR(O175),1,1)+1)))),2)+IF(O175&lt;'Навигатор накоплений'!F23,N('Навигатор накоплений'!G23),0))+0*LEN("P175"))</f>
        <v/>
      </c>
      <c r="Q175" s="45" t="str">
        <f>IF(OR(R174="",R174&gt;='Навигатор накоплений'!F24),"",(R174)+0*LEN("Q175"))</f>
        <v/>
      </c>
      <c r="R175" s="45" t="str">
        <f>IF(Q175="","",(MIN(EDATE(Q175,1),'Навигатор накоплений'!F24))+0*LEN("R175"))</f>
        <v/>
      </c>
      <c r="S175" s="46" t="str">
        <f>IF(R175="","",(ROUND(S174*(1+'Навигатор накоплений'!D24*(IF(YEAR(Q175)=YEAR(R175-1),(R175-Q175)/(DATE(YEAR(Q175),12,31)-DATE(YEAR(Q175),1,1)+1),(DATE(YEAR(Q175)+1,1,1)-Q175)/(DATE(YEAR(Q175),12,31)-DATE(YEAR(Q175),1,1)+1)+(R175-DATE(YEAR(R175),1,1))/(DATE(YEAR(R175),12,31)-DATE(YEAR(R175),1,1)+1)))),2)+IF(R175&lt;'Навигатор накоплений'!F24,N('Навигатор накоплений'!G24),0))+0*LEN("S175"))</f>
        <v/>
      </c>
      <c r="T175" s="45" t="str">
        <f>IF(OR(U174="",U174&gt;='Навигатор накоплений'!F27),"",(U174)+0*LEN("T175"))</f>
        <v/>
      </c>
      <c r="U175" s="45" t="str">
        <f>IF(T175="","",(MIN(EDATE(T175,1),'Навигатор накоплений'!F27))+0*LEN("U175"))</f>
        <v/>
      </c>
      <c r="V175" s="46" t="str">
        <f>IF(U175="","",(ROUND(V174*(1+'Навигатор накоплений'!D27*(IF(YEAR(T175)=YEAR(U175-1),(U175-T175)/(DATE(YEAR(T175),12,31)-DATE(YEAR(T175),1,1)+1),(DATE(YEAR(T175)+1,1,1)-T175)/(DATE(YEAR(T175),12,31)-DATE(YEAR(T175),1,1)+1)+(U175-DATE(YEAR(U175),1,1))/(DATE(YEAR(U175),12,31)-DATE(YEAR(U175),1,1)+1)))),2)+IF(U175&lt;'Навигатор накоплений'!F27,N('Навигатор накоплений'!G27),0))+0*LEN("V175"))</f>
        <v/>
      </c>
    </row>
    <row r="176" spans="1:22" ht="15" x14ac:dyDescent="0.2">
      <c r="K176" s="45" t="str">
        <f>IF(OR(L175="",L175&gt;='Навигатор накоплений'!F22),"",(L175)+0*LEN("K176"))</f>
        <v/>
      </c>
      <c r="L176" s="45" t="str">
        <f>IF(K176="","",(MIN(EDATE(K176,1),'Навигатор накоплений'!F22))+0*LEN("L176"))</f>
        <v/>
      </c>
      <c r="M176" s="46" t="str">
        <f>IF(L176="","",(ROUND(M175*(1+'Навигатор накоплений'!D22*(IF(YEAR(K176)=YEAR(L176-1),(L176-K176)/(DATE(YEAR(K176),12,31)-DATE(YEAR(K176),1,1)+1),(DATE(YEAR(K176)+1,1,1)-K176)/(DATE(YEAR(K176),12,31)-DATE(YEAR(K176),1,1)+1)+(L176-DATE(YEAR(L176),1,1))/(DATE(YEAR(L176),12,31)-DATE(YEAR(L176),1,1)+1)))),2)+IF(L176&lt;'Навигатор накоплений'!F22,N('Навигатор накоплений'!G22),0))+0*LEN("M176"))</f>
        <v/>
      </c>
      <c r="N176" s="45" t="str">
        <f>IF(OR(O175="",O175&gt;='Навигатор накоплений'!F23),"",(O175)+0*LEN("N176"))</f>
        <v/>
      </c>
      <c r="O176" s="45" t="str">
        <f>IF(N176="","",(MIN(EDATE(N176,1),'Навигатор накоплений'!F23))+0*LEN("O176"))</f>
        <v/>
      </c>
      <c r="P176" s="46" t="str">
        <f>IF(O176="","",(ROUND(P175*(1+'Навигатор накоплений'!D23*(IF(YEAR(N176)=YEAR(O176-1),(O176-N176)/(DATE(YEAR(N176),12,31)-DATE(YEAR(N176),1,1)+1),(DATE(YEAR(N176)+1,1,1)-N176)/(DATE(YEAR(N176),12,31)-DATE(YEAR(N176),1,1)+1)+(O176-DATE(YEAR(O176),1,1))/(DATE(YEAR(O176),12,31)-DATE(YEAR(O176),1,1)+1)))),2)+IF(O176&lt;'Навигатор накоплений'!F23,N('Навигатор накоплений'!G23),0))+0*LEN("P176"))</f>
        <v/>
      </c>
      <c r="Q176" s="45" t="str">
        <f>IF(OR(R175="",R175&gt;='Навигатор накоплений'!F24),"",(R175)+0*LEN("Q176"))</f>
        <v/>
      </c>
      <c r="R176" s="45" t="str">
        <f>IF(Q176="","",(MIN(EDATE(Q176,1),'Навигатор накоплений'!F24))+0*LEN("R176"))</f>
        <v/>
      </c>
      <c r="S176" s="46" t="str">
        <f>IF(R176="","",(ROUND(S175*(1+'Навигатор накоплений'!D24*(IF(YEAR(Q176)=YEAR(R176-1),(R176-Q176)/(DATE(YEAR(Q176),12,31)-DATE(YEAR(Q176),1,1)+1),(DATE(YEAR(Q176)+1,1,1)-Q176)/(DATE(YEAR(Q176),12,31)-DATE(YEAR(Q176),1,1)+1)+(R176-DATE(YEAR(R176),1,1))/(DATE(YEAR(R176),12,31)-DATE(YEAR(R176),1,1)+1)))),2)+IF(R176&lt;'Навигатор накоплений'!F24,N('Навигатор накоплений'!G24),0))+0*LEN("S176"))</f>
        <v/>
      </c>
      <c r="T176" s="45" t="str">
        <f>IF(OR(U175="",U175&gt;='Навигатор накоплений'!F27),"",(U175)+0*LEN("T176"))</f>
        <v/>
      </c>
      <c r="U176" s="45" t="str">
        <f>IF(T176="","",(MIN(EDATE(T176,1),'Навигатор накоплений'!F27))+0*LEN("U176"))</f>
        <v/>
      </c>
      <c r="V176" s="46" t="str">
        <f>IF(U176="","",(ROUND(V175*(1+'Навигатор накоплений'!D27*(IF(YEAR(T176)=YEAR(U176-1),(U176-T176)/(DATE(YEAR(T176),12,31)-DATE(YEAR(T176),1,1)+1),(DATE(YEAR(T176)+1,1,1)-T176)/(DATE(YEAR(T176),12,31)-DATE(YEAR(T176),1,1)+1)+(U176-DATE(YEAR(U176),1,1))/(DATE(YEAR(U176),12,31)-DATE(YEAR(U176),1,1)+1)))),2)+IF(U176&lt;'Навигатор накоплений'!F27,N('Навигатор накоплений'!G27),0))+0*LEN("V176"))</f>
        <v/>
      </c>
    </row>
    <row r="177" spans="11:22" ht="15" x14ac:dyDescent="0.2">
      <c r="K177" s="45" t="str">
        <f>IF(OR(L176="",L176&gt;='Навигатор накоплений'!F22),"",(L176)+0*LEN("K177"))</f>
        <v/>
      </c>
      <c r="L177" s="45" t="str">
        <f>IF(K177="","",(MIN(EDATE(K177,1),'Навигатор накоплений'!F22))+0*LEN("L177"))</f>
        <v/>
      </c>
      <c r="M177" s="46" t="str">
        <f>IF(L177="","",(ROUND(M176*(1+'Навигатор накоплений'!D22*(IF(YEAR(K177)=YEAR(L177-1),(L177-K177)/(DATE(YEAR(K177),12,31)-DATE(YEAR(K177),1,1)+1),(DATE(YEAR(K177)+1,1,1)-K177)/(DATE(YEAR(K177),12,31)-DATE(YEAR(K177),1,1)+1)+(L177-DATE(YEAR(L177),1,1))/(DATE(YEAR(L177),12,31)-DATE(YEAR(L177),1,1)+1)))),2)+IF(L177&lt;'Навигатор накоплений'!F22,N('Навигатор накоплений'!G22),0))+0*LEN("M177"))</f>
        <v/>
      </c>
      <c r="N177" s="45" t="str">
        <f>IF(OR(O176="",O176&gt;='Навигатор накоплений'!F23),"",(O176)+0*LEN("N177"))</f>
        <v/>
      </c>
      <c r="O177" s="45" t="str">
        <f>IF(N177="","",(MIN(EDATE(N177,1),'Навигатор накоплений'!F23))+0*LEN("O177"))</f>
        <v/>
      </c>
      <c r="P177" s="46" t="str">
        <f>IF(O177="","",(ROUND(P176*(1+'Навигатор накоплений'!D23*(IF(YEAR(N177)=YEAR(O177-1),(O177-N177)/(DATE(YEAR(N177),12,31)-DATE(YEAR(N177),1,1)+1),(DATE(YEAR(N177)+1,1,1)-N177)/(DATE(YEAR(N177),12,31)-DATE(YEAR(N177),1,1)+1)+(O177-DATE(YEAR(O177),1,1))/(DATE(YEAR(O177),12,31)-DATE(YEAR(O177),1,1)+1)))),2)+IF(O177&lt;'Навигатор накоплений'!F23,N('Навигатор накоплений'!G23),0))+0*LEN("P177"))</f>
        <v/>
      </c>
      <c r="Q177" s="45" t="str">
        <f>IF(OR(R176="",R176&gt;='Навигатор накоплений'!F24),"",(R176)+0*LEN("Q177"))</f>
        <v/>
      </c>
      <c r="R177" s="45" t="str">
        <f>IF(Q177="","",(MIN(EDATE(Q177,1),'Навигатор накоплений'!F24))+0*LEN("R177"))</f>
        <v/>
      </c>
      <c r="S177" s="46" t="str">
        <f>IF(R177="","",(ROUND(S176*(1+'Навигатор накоплений'!D24*(IF(YEAR(Q177)=YEAR(R177-1),(R177-Q177)/(DATE(YEAR(Q177),12,31)-DATE(YEAR(Q177),1,1)+1),(DATE(YEAR(Q177)+1,1,1)-Q177)/(DATE(YEAR(Q177),12,31)-DATE(YEAR(Q177),1,1)+1)+(R177-DATE(YEAR(R177),1,1))/(DATE(YEAR(R177),12,31)-DATE(YEAR(R177),1,1)+1)))),2)+IF(R177&lt;'Навигатор накоплений'!F24,N('Навигатор накоплений'!G24),0))+0*LEN("S177"))</f>
        <v/>
      </c>
      <c r="T177" s="45" t="str">
        <f>IF(OR(U176="",U176&gt;='Навигатор накоплений'!F27),"",(U176)+0*LEN("T177"))</f>
        <v/>
      </c>
      <c r="U177" s="45" t="str">
        <f>IF(T177="","",(MIN(EDATE(T177,1),'Навигатор накоплений'!F27))+0*LEN("U177"))</f>
        <v/>
      </c>
      <c r="V177" s="46" t="str">
        <f>IF(U177="","",(ROUND(V176*(1+'Навигатор накоплений'!D27*(IF(YEAR(T177)=YEAR(U177-1),(U177-T177)/(DATE(YEAR(T177),12,31)-DATE(YEAR(T177),1,1)+1),(DATE(YEAR(T177)+1,1,1)-T177)/(DATE(YEAR(T177),12,31)-DATE(YEAR(T177),1,1)+1)+(U177-DATE(YEAR(U177),1,1))/(DATE(YEAR(U177),12,31)-DATE(YEAR(U177),1,1)+1)))),2)+IF(U177&lt;'Навигатор накоплений'!F27,N('Навигатор накоплений'!G27),0))+0*LEN("V177"))</f>
        <v/>
      </c>
    </row>
    <row r="178" spans="11:22" ht="15" x14ac:dyDescent="0.2">
      <c r="K178" s="45" t="str">
        <f>IF(OR(L177="",L177&gt;='Навигатор накоплений'!F22),"",(L177)+0*LEN("K178"))</f>
        <v/>
      </c>
      <c r="L178" s="45" t="str">
        <f>IF(K178="","",(MIN(EDATE(K178,1),'Навигатор накоплений'!F22))+0*LEN("L178"))</f>
        <v/>
      </c>
      <c r="M178" s="46" t="str">
        <f>IF(L178="","",(ROUND(M177*(1+'Навигатор накоплений'!D22*(IF(YEAR(K178)=YEAR(L178-1),(L178-K178)/(DATE(YEAR(K178),12,31)-DATE(YEAR(K178),1,1)+1),(DATE(YEAR(K178)+1,1,1)-K178)/(DATE(YEAR(K178),12,31)-DATE(YEAR(K178),1,1)+1)+(L178-DATE(YEAR(L178),1,1))/(DATE(YEAR(L178),12,31)-DATE(YEAR(L178),1,1)+1)))),2)+IF(L178&lt;'Навигатор накоплений'!F22,N('Навигатор накоплений'!G22),0))+0*LEN("M178"))</f>
        <v/>
      </c>
      <c r="N178" s="45" t="str">
        <f>IF(OR(O177="",O177&gt;='Навигатор накоплений'!F23),"",(O177)+0*LEN("N178"))</f>
        <v/>
      </c>
      <c r="O178" s="45" t="str">
        <f>IF(N178="","",(MIN(EDATE(N178,1),'Навигатор накоплений'!F23))+0*LEN("O178"))</f>
        <v/>
      </c>
      <c r="P178" s="46" t="str">
        <f>IF(O178="","",(ROUND(P177*(1+'Навигатор накоплений'!D23*(IF(YEAR(N178)=YEAR(O178-1),(O178-N178)/(DATE(YEAR(N178),12,31)-DATE(YEAR(N178),1,1)+1),(DATE(YEAR(N178)+1,1,1)-N178)/(DATE(YEAR(N178),12,31)-DATE(YEAR(N178),1,1)+1)+(O178-DATE(YEAR(O178),1,1))/(DATE(YEAR(O178),12,31)-DATE(YEAR(O178),1,1)+1)))),2)+IF(O178&lt;'Навигатор накоплений'!F23,N('Навигатор накоплений'!G23),0))+0*LEN("P178"))</f>
        <v/>
      </c>
      <c r="Q178" s="45" t="str">
        <f>IF(OR(R177="",R177&gt;='Навигатор накоплений'!F24),"",(R177)+0*LEN("Q178"))</f>
        <v/>
      </c>
      <c r="R178" s="45" t="str">
        <f>IF(Q178="","",(MIN(EDATE(Q178,1),'Навигатор накоплений'!F24))+0*LEN("R178"))</f>
        <v/>
      </c>
      <c r="S178" s="46" t="str">
        <f>IF(R178="","",(ROUND(S177*(1+'Навигатор накоплений'!D24*(IF(YEAR(Q178)=YEAR(R178-1),(R178-Q178)/(DATE(YEAR(Q178),12,31)-DATE(YEAR(Q178),1,1)+1),(DATE(YEAR(Q178)+1,1,1)-Q178)/(DATE(YEAR(Q178),12,31)-DATE(YEAR(Q178),1,1)+1)+(R178-DATE(YEAR(R178),1,1))/(DATE(YEAR(R178),12,31)-DATE(YEAR(R178),1,1)+1)))),2)+IF(R178&lt;'Навигатор накоплений'!F24,N('Навигатор накоплений'!G24),0))+0*LEN("S178"))</f>
        <v/>
      </c>
      <c r="T178" s="45" t="str">
        <f>IF(OR(U177="",U177&gt;='Навигатор накоплений'!F27),"",(U177)+0*LEN("T178"))</f>
        <v/>
      </c>
      <c r="U178" s="45" t="str">
        <f>IF(T178="","",(MIN(EDATE(T178,1),'Навигатор накоплений'!F27))+0*LEN("U178"))</f>
        <v/>
      </c>
      <c r="V178" s="46" t="str">
        <f>IF(U178="","",(ROUND(V177*(1+'Навигатор накоплений'!D27*(IF(YEAR(T178)=YEAR(U178-1),(U178-T178)/(DATE(YEAR(T178),12,31)-DATE(YEAR(T178),1,1)+1),(DATE(YEAR(T178)+1,1,1)-T178)/(DATE(YEAR(T178),12,31)-DATE(YEAR(T178),1,1)+1)+(U178-DATE(YEAR(U178),1,1))/(DATE(YEAR(U178),12,31)-DATE(YEAR(U178),1,1)+1)))),2)+IF(U178&lt;'Навигатор накоплений'!F27,N('Навигатор накоплений'!G27),0))+0*LEN("V178"))</f>
        <v/>
      </c>
    </row>
    <row r="179" spans="11:22" ht="15" x14ac:dyDescent="0.2">
      <c r="K179" s="45" t="str">
        <f>IF(OR(L178="",L178&gt;='Навигатор накоплений'!F22),"",(L178)+0*LEN("K179"))</f>
        <v/>
      </c>
      <c r="L179" s="45" t="str">
        <f>IF(K179="","",(MIN(EDATE(K179,1),'Навигатор накоплений'!F22))+0*LEN("L179"))</f>
        <v/>
      </c>
      <c r="M179" s="46" t="str">
        <f>IF(L179="","",(ROUND(M178*(1+'Навигатор накоплений'!D22*(IF(YEAR(K179)=YEAR(L179-1),(L179-K179)/(DATE(YEAR(K179),12,31)-DATE(YEAR(K179),1,1)+1),(DATE(YEAR(K179)+1,1,1)-K179)/(DATE(YEAR(K179),12,31)-DATE(YEAR(K179),1,1)+1)+(L179-DATE(YEAR(L179),1,1))/(DATE(YEAR(L179),12,31)-DATE(YEAR(L179),1,1)+1)))),2)+IF(L179&lt;'Навигатор накоплений'!F22,N('Навигатор накоплений'!G22),0))+0*LEN("M179"))</f>
        <v/>
      </c>
      <c r="N179" s="45" t="str">
        <f>IF(OR(O178="",O178&gt;='Навигатор накоплений'!F23),"",(O178)+0*LEN("N179"))</f>
        <v/>
      </c>
      <c r="O179" s="45" t="str">
        <f>IF(N179="","",(MIN(EDATE(N179,1),'Навигатор накоплений'!F23))+0*LEN("O179"))</f>
        <v/>
      </c>
      <c r="P179" s="46" t="str">
        <f>IF(O179="","",(ROUND(P178*(1+'Навигатор накоплений'!D23*(IF(YEAR(N179)=YEAR(O179-1),(O179-N179)/(DATE(YEAR(N179),12,31)-DATE(YEAR(N179),1,1)+1),(DATE(YEAR(N179)+1,1,1)-N179)/(DATE(YEAR(N179),12,31)-DATE(YEAR(N179),1,1)+1)+(O179-DATE(YEAR(O179),1,1))/(DATE(YEAR(O179),12,31)-DATE(YEAR(O179),1,1)+1)))),2)+IF(O179&lt;'Навигатор накоплений'!F23,N('Навигатор накоплений'!G23),0))+0*LEN("P179"))</f>
        <v/>
      </c>
      <c r="Q179" s="45" t="str">
        <f>IF(OR(R178="",R178&gt;='Навигатор накоплений'!F24),"",(R178)+0*LEN("Q179"))</f>
        <v/>
      </c>
      <c r="R179" s="45" t="str">
        <f>IF(Q179="","",(MIN(EDATE(Q179,1),'Навигатор накоплений'!F24))+0*LEN("R179"))</f>
        <v/>
      </c>
      <c r="S179" s="46" t="str">
        <f>IF(R179="","",(ROUND(S178*(1+'Навигатор накоплений'!D24*(IF(YEAR(Q179)=YEAR(R179-1),(R179-Q179)/(DATE(YEAR(Q179),12,31)-DATE(YEAR(Q179),1,1)+1),(DATE(YEAR(Q179)+1,1,1)-Q179)/(DATE(YEAR(Q179),12,31)-DATE(YEAR(Q179),1,1)+1)+(R179-DATE(YEAR(R179),1,1))/(DATE(YEAR(R179),12,31)-DATE(YEAR(R179),1,1)+1)))),2)+IF(R179&lt;'Навигатор накоплений'!F24,N('Навигатор накоплений'!G24),0))+0*LEN("S179"))</f>
        <v/>
      </c>
      <c r="T179" s="45" t="str">
        <f>IF(OR(U178="",U178&gt;='Навигатор накоплений'!F27),"",(U178)+0*LEN("T179"))</f>
        <v/>
      </c>
      <c r="U179" s="45" t="str">
        <f>IF(T179="","",(MIN(EDATE(T179,1),'Навигатор накоплений'!F27))+0*LEN("U179"))</f>
        <v/>
      </c>
      <c r="V179" s="46" t="str">
        <f>IF(U179="","",(ROUND(V178*(1+'Навигатор накоплений'!D27*(IF(YEAR(T179)=YEAR(U179-1),(U179-T179)/(DATE(YEAR(T179),12,31)-DATE(YEAR(T179),1,1)+1),(DATE(YEAR(T179)+1,1,1)-T179)/(DATE(YEAR(T179),12,31)-DATE(YEAR(T179),1,1)+1)+(U179-DATE(YEAR(U179),1,1))/(DATE(YEAR(U179),12,31)-DATE(YEAR(U179),1,1)+1)))),2)+IF(U179&lt;'Навигатор накоплений'!F27,N('Навигатор накоплений'!G27),0))+0*LEN("V179"))</f>
        <v/>
      </c>
    </row>
    <row r="180" spans="11:22" ht="15" x14ac:dyDescent="0.2">
      <c r="K180" s="45" t="str">
        <f>IF(OR(L179="",L179&gt;='Навигатор накоплений'!F22),"",(L179)+0*LEN("K180"))</f>
        <v/>
      </c>
      <c r="L180" s="45" t="str">
        <f>IF(K180="","",(MIN(EDATE(K180,1),'Навигатор накоплений'!F22))+0*LEN("L180"))</f>
        <v/>
      </c>
      <c r="M180" s="46" t="str">
        <f>IF(L180="","",(ROUND(M179*(1+'Навигатор накоплений'!D22*(IF(YEAR(K180)=YEAR(L180-1),(L180-K180)/(DATE(YEAR(K180),12,31)-DATE(YEAR(K180),1,1)+1),(DATE(YEAR(K180)+1,1,1)-K180)/(DATE(YEAR(K180),12,31)-DATE(YEAR(K180),1,1)+1)+(L180-DATE(YEAR(L180),1,1))/(DATE(YEAR(L180),12,31)-DATE(YEAR(L180),1,1)+1)))),2)+IF(L180&lt;'Навигатор накоплений'!F22,N('Навигатор накоплений'!G22),0))+0*LEN("M180"))</f>
        <v/>
      </c>
      <c r="N180" s="45" t="str">
        <f>IF(OR(O179="",O179&gt;='Навигатор накоплений'!F23),"",(O179)+0*LEN("N180"))</f>
        <v/>
      </c>
      <c r="O180" s="45" t="str">
        <f>IF(N180="","",(MIN(EDATE(N180,1),'Навигатор накоплений'!F23))+0*LEN("O180"))</f>
        <v/>
      </c>
      <c r="P180" s="46" t="str">
        <f>IF(O180="","",(ROUND(P179*(1+'Навигатор накоплений'!D23*(IF(YEAR(N180)=YEAR(O180-1),(O180-N180)/(DATE(YEAR(N180),12,31)-DATE(YEAR(N180),1,1)+1),(DATE(YEAR(N180)+1,1,1)-N180)/(DATE(YEAR(N180),12,31)-DATE(YEAR(N180),1,1)+1)+(O180-DATE(YEAR(O180),1,1))/(DATE(YEAR(O180),12,31)-DATE(YEAR(O180),1,1)+1)))),2)+IF(O180&lt;'Навигатор накоплений'!F23,N('Навигатор накоплений'!G23),0))+0*LEN("P180"))</f>
        <v/>
      </c>
      <c r="Q180" s="45" t="str">
        <f>IF(OR(R179="",R179&gt;='Навигатор накоплений'!F24),"",(R179)+0*LEN("Q180"))</f>
        <v/>
      </c>
      <c r="R180" s="45" t="str">
        <f>IF(Q180="","",(MIN(EDATE(Q180,1),'Навигатор накоплений'!F24))+0*LEN("R180"))</f>
        <v/>
      </c>
      <c r="S180" s="46" t="str">
        <f>IF(R180="","",(ROUND(S179*(1+'Навигатор накоплений'!D24*(IF(YEAR(Q180)=YEAR(R180-1),(R180-Q180)/(DATE(YEAR(Q180),12,31)-DATE(YEAR(Q180),1,1)+1),(DATE(YEAR(Q180)+1,1,1)-Q180)/(DATE(YEAR(Q180),12,31)-DATE(YEAR(Q180),1,1)+1)+(R180-DATE(YEAR(R180),1,1))/(DATE(YEAR(R180),12,31)-DATE(YEAR(R180),1,1)+1)))),2)+IF(R180&lt;'Навигатор накоплений'!F24,N('Навигатор накоплений'!G24),0))+0*LEN("S180"))</f>
        <v/>
      </c>
      <c r="T180" s="45" t="str">
        <f>IF(OR(U179="",U179&gt;='Навигатор накоплений'!F27),"",(U179)+0*LEN("T180"))</f>
        <v/>
      </c>
      <c r="U180" s="45" t="str">
        <f>IF(T180="","",(MIN(EDATE(T180,1),'Навигатор накоплений'!F27))+0*LEN("U180"))</f>
        <v/>
      </c>
      <c r="V180" s="46" t="str">
        <f>IF(U180="","",(ROUND(V179*(1+'Навигатор накоплений'!D27*(IF(YEAR(T180)=YEAR(U180-1),(U180-T180)/(DATE(YEAR(T180),12,31)-DATE(YEAR(T180),1,1)+1),(DATE(YEAR(T180)+1,1,1)-T180)/(DATE(YEAR(T180),12,31)-DATE(YEAR(T180),1,1)+1)+(U180-DATE(YEAR(U180),1,1))/(DATE(YEAR(U180),12,31)-DATE(YEAR(U180),1,1)+1)))),2)+IF(U180&lt;'Навигатор накоплений'!F27,N('Навигатор накоплений'!G27),0))+0*LEN("V180"))</f>
        <v/>
      </c>
    </row>
    <row r="181" spans="11:22" ht="15" x14ac:dyDescent="0.2">
      <c r="K181" s="45" t="str">
        <f>IF(OR(L180="",L180&gt;='Навигатор накоплений'!F22),"",(L180)+0*LEN("K181"))</f>
        <v/>
      </c>
      <c r="L181" s="45" t="str">
        <f>IF(K181="","",(MIN(EDATE(K181,1),'Навигатор накоплений'!F22))+0*LEN("L181"))</f>
        <v/>
      </c>
      <c r="M181" s="46" t="str">
        <f>IF(L181="","",(ROUND(M180*(1+'Навигатор накоплений'!D22*(IF(YEAR(K181)=YEAR(L181-1),(L181-K181)/(DATE(YEAR(K181),12,31)-DATE(YEAR(K181),1,1)+1),(DATE(YEAR(K181)+1,1,1)-K181)/(DATE(YEAR(K181),12,31)-DATE(YEAR(K181),1,1)+1)+(L181-DATE(YEAR(L181),1,1))/(DATE(YEAR(L181),12,31)-DATE(YEAR(L181),1,1)+1)))),2)+IF(L181&lt;'Навигатор накоплений'!F22,N('Навигатор накоплений'!G22),0))+0*LEN("M181"))</f>
        <v/>
      </c>
      <c r="N181" s="45" t="str">
        <f>IF(OR(O180="",O180&gt;='Навигатор накоплений'!F23),"",(O180)+0*LEN("N181"))</f>
        <v/>
      </c>
      <c r="O181" s="45" t="str">
        <f>IF(N181="","",(MIN(EDATE(N181,1),'Навигатор накоплений'!F23))+0*LEN("O181"))</f>
        <v/>
      </c>
      <c r="P181" s="46" t="str">
        <f>IF(O181="","",(ROUND(P180*(1+'Навигатор накоплений'!D23*(IF(YEAR(N181)=YEAR(O181-1),(O181-N181)/(DATE(YEAR(N181),12,31)-DATE(YEAR(N181),1,1)+1),(DATE(YEAR(N181)+1,1,1)-N181)/(DATE(YEAR(N181),12,31)-DATE(YEAR(N181),1,1)+1)+(O181-DATE(YEAR(O181),1,1))/(DATE(YEAR(O181),12,31)-DATE(YEAR(O181),1,1)+1)))),2)+IF(O181&lt;'Навигатор накоплений'!F23,N('Навигатор накоплений'!G23),0))+0*LEN("P181"))</f>
        <v/>
      </c>
      <c r="Q181" s="45" t="str">
        <f>IF(OR(R180="",R180&gt;='Навигатор накоплений'!F24),"",(R180)+0*LEN("Q181"))</f>
        <v/>
      </c>
      <c r="R181" s="45" t="str">
        <f>IF(Q181="","",(MIN(EDATE(Q181,1),'Навигатор накоплений'!F24))+0*LEN("R181"))</f>
        <v/>
      </c>
      <c r="S181" s="46" t="str">
        <f>IF(R181="","",(ROUND(S180*(1+'Навигатор накоплений'!D24*(IF(YEAR(Q181)=YEAR(R181-1),(R181-Q181)/(DATE(YEAR(Q181),12,31)-DATE(YEAR(Q181),1,1)+1),(DATE(YEAR(Q181)+1,1,1)-Q181)/(DATE(YEAR(Q181),12,31)-DATE(YEAR(Q181),1,1)+1)+(R181-DATE(YEAR(R181),1,1))/(DATE(YEAR(R181),12,31)-DATE(YEAR(R181),1,1)+1)))),2)+IF(R181&lt;'Навигатор накоплений'!F24,N('Навигатор накоплений'!G24),0))+0*LEN("S181"))</f>
        <v/>
      </c>
      <c r="T181" s="45" t="str">
        <f>IF(OR(U180="",U180&gt;='Навигатор накоплений'!F27),"",(U180)+0*LEN("T181"))</f>
        <v/>
      </c>
      <c r="U181" s="45" t="str">
        <f>IF(T181="","",(MIN(EDATE(T181,1),'Навигатор накоплений'!F27))+0*LEN("U181"))</f>
        <v/>
      </c>
      <c r="V181" s="46" t="str">
        <f>IF(U181="","",(ROUND(V180*(1+'Навигатор накоплений'!D27*(IF(YEAR(T181)=YEAR(U181-1),(U181-T181)/(DATE(YEAR(T181),12,31)-DATE(YEAR(T181),1,1)+1),(DATE(YEAR(T181)+1,1,1)-T181)/(DATE(YEAR(T181),12,31)-DATE(YEAR(T181),1,1)+1)+(U181-DATE(YEAR(U181),1,1))/(DATE(YEAR(U181),12,31)-DATE(YEAR(U181),1,1)+1)))),2)+IF(U181&lt;'Навигатор накоплений'!F27,N('Навигатор накоплений'!G27),0))+0*LEN("V181"))</f>
        <v/>
      </c>
    </row>
    <row r="182" spans="11:22" ht="15" x14ac:dyDescent="0.2">
      <c r="K182" s="45" t="str">
        <f>IF(OR(L181="",L181&gt;='Навигатор накоплений'!F22),"",(L181)+0*LEN("K182"))</f>
        <v/>
      </c>
      <c r="L182" s="45" t="str">
        <f>IF(K182="","",(MIN(EDATE(K182,1),'Навигатор накоплений'!F22))+0*LEN("L182"))</f>
        <v/>
      </c>
      <c r="M182" s="46" t="str">
        <f>IF(L182="","",(ROUND(M181*(1+'Навигатор накоплений'!D22*(IF(YEAR(K182)=YEAR(L182-1),(L182-K182)/(DATE(YEAR(K182),12,31)-DATE(YEAR(K182),1,1)+1),(DATE(YEAR(K182)+1,1,1)-K182)/(DATE(YEAR(K182),12,31)-DATE(YEAR(K182),1,1)+1)+(L182-DATE(YEAR(L182),1,1))/(DATE(YEAR(L182),12,31)-DATE(YEAR(L182),1,1)+1)))),2)+IF(L182&lt;'Навигатор накоплений'!F22,N('Навигатор накоплений'!G22),0))+0*LEN("M182"))</f>
        <v/>
      </c>
      <c r="N182" s="45" t="str">
        <f>IF(OR(O181="",O181&gt;='Навигатор накоплений'!F23),"",(O181)+0*LEN("N182"))</f>
        <v/>
      </c>
      <c r="O182" s="45" t="str">
        <f>IF(N182="","",(MIN(EDATE(N182,1),'Навигатор накоплений'!F23))+0*LEN("O182"))</f>
        <v/>
      </c>
      <c r="P182" s="46" t="str">
        <f>IF(O182="","",(ROUND(P181*(1+'Навигатор накоплений'!D23*(IF(YEAR(N182)=YEAR(O182-1),(O182-N182)/(DATE(YEAR(N182),12,31)-DATE(YEAR(N182),1,1)+1),(DATE(YEAR(N182)+1,1,1)-N182)/(DATE(YEAR(N182),12,31)-DATE(YEAR(N182),1,1)+1)+(O182-DATE(YEAR(O182),1,1))/(DATE(YEAR(O182),12,31)-DATE(YEAR(O182),1,1)+1)))),2)+IF(O182&lt;'Навигатор накоплений'!F23,N('Навигатор накоплений'!G23),0))+0*LEN("P182"))</f>
        <v/>
      </c>
      <c r="Q182" s="45" t="str">
        <f>IF(OR(R181="",R181&gt;='Навигатор накоплений'!F24),"",(R181)+0*LEN("Q182"))</f>
        <v/>
      </c>
      <c r="R182" s="45" t="str">
        <f>IF(Q182="","",(MIN(EDATE(Q182,1),'Навигатор накоплений'!F24))+0*LEN("R182"))</f>
        <v/>
      </c>
      <c r="S182" s="46" t="str">
        <f>IF(R182="","",(ROUND(S181*(1+'Навигатор накоплений'!D24*(IF(YEAR(Q182)=YEAR(R182-1),(R182-Q182)/(DATE(YEAR(Q182),12,31)-DATE(YEAR(Q182),1,1)+1),(DATE(YEAR(Q182)+1,1,1)-Q182)/(DATE(YEAR(Q182),12,31)-DATE(YEAR(Q182),1,1)+1)+(R182-DATE(YEAR(R182),1,1))/(DATE(YEAR(R182),12,31)-DATE(YEAR(R182),1,1)+1)))),2)+IF(R182&lt;'Навигатор накоплений'!F24,N('Навигатор накоплений'!G24),0))+0*LEN("S182"))</f>
        <v/>
      </c>
      <c r="T182" s="45" t="str">
        <f>IF(OR(U181="",U181&gt;='Навигатор накоплений'!F27),"",(U181)+0*LEN("T182"))</f>
        <v/>
      </c>
      <c r="U182" s="45" t="str">
        <f>IF(T182="","",(MIN(EDATE(T182,1),'Навигатор накоплений'!F27))+0*LEN("U182"))</f>
        <v/>
      </c>
      <c r="V182" s="46" t="str">
        <f>IF(U182="","",(ROUND(V181*(1+'Навигатор накоплений'!D27*(IF(YEAR(T182)=YEAR(U182-1),(U182-T182)/(DATE(YEAR(T182),12,31)-DATE(YEAR(T182),1,1)+1),(DATE(YEAR(T182)+1,1,1)-T182)/(DATE(YEAR(T182),12,31)-DATE(YEAR(T182),1,1)+1)+(U182-DATE(YEAR(U182),1,1))/(DATE(YEAR(U182),12,31)-DATE(YEAR(U182),1,1)+1)))),2)+IF(U182&lt;'Навигатор накоплений'!F27,N('Навигатор накоплений'!G27),0))+0*LEN("V182"))</f>
        <v/>
      </c>
    </row>
    <row r="183" spans="11:22" ht="15" x14ac:dyDescent="0.2">
      <c r="K183" s="45" t="str">
        <f>IF(OR(L182="",L182&gt;='Навигатор накоплений'!F22),"",(L182)+0*LEN("K183"))</f>
        <v/>
      </c>
      <c r="L183" s="45" t="str">
        <f>IF(K183="","",(MIN(EDATE(K183,1),'Навигатор накоплений'!F22))+0*LEN("L183"))</f>
        <v/>
      </c>
      <c r="M183" s="46" t="str">
        <f>IF(L183="","",(ROUND(M182*(1+'Навигатор накоплений'!D22*(IF(YEAR(K183)=YEAR(L183-1),(L183-K183)/(DATE(YEAR(K183),12,31)-DATE(YEAR(K183),1,1)+1),(DATE(YEAR(K183)+1,1,1)-K183)/(DATE(YEAR(K183),12,31)-DATE(YEAR(K183),1,1)+1)+(L183-DATE(YEAR(L183),1,1))/(DATE(YEAR(L183),12,31)-DATE(YEAR(L183),1,1)+1)))),2)+IF(L183&lt;'Навигатор накоплений'!F22,N('Навигатор накоплений'!G22),0))+0*LEN("M183"))</f>
        <v/>
      </c>
      <c r="N183" s="45" t="str">
        <f>IF(OR(O182="",O182&gt;='Навигатор накоплений'!F23),"",(O182)+0*LEN("N183"))</f>
        <v/>
      </c>
      <c r="O183" s="45" t="str">
        <f>IF(N183="","",(MIN(EDATE(N183,1),'Навигатор накоплений'!F23))+0*LEN("O183"))</f>
        <v/>
      </c>
      <c r="P183" s="46" t="str">
        <f>IF(O183="","",(ROUND(P182*(1+'Навигатор накоплений'!D23*(IF(YEAR(N183)=YEAR(O183-1),(O183-N183)/(DATE(YEAR(N183),12,31)-DATE(YEAR(N183),1,1)+1),(DATE(YEAR(N183)+1,1,1)-N183)/(DATE(YEAR(N183),12,31)-DATE(YEAR(N183),1,1)+1)+(O183-DATE(YEAR(O183),1,1))/(DATE(YEAR(O183),12,31)-DATE(YEAR(O183),1,1)+1)))),2)+IF(O183&lt;'Навигатор накоплений'!F23,N('Навигатор накоплений'!G23),0))+0*LEN("P183"))</f>
        <v/>
      </c>
      <c r="Q183" s="45" t="str">
        <f>IF(OR(R182="",R182&gt;='Навигатор накоплений'!F24),"",(R182)+0*LEN("Q183"))</f>
        <v/>
      </c>
      <c r="R183" s="45" t="str">
        <f>IF(Q183="","",(MIN(EDATE(Q183,1),'Навигатор накоплений'!F24))+0*LEN("R183"))</f>
        <v/>
      </c>
      <c r="S183" s="46" t="str">
        <f>IF(R183="","",(ROUND(S182*(1+'Навигатор накоплений'!D24*(IF(YEAR(Q183)=YEAR(R183-1),(R183-Q183)/(DATE(YEAR(Q183),12,31)-DATE(YEAR(Q183),1,1)+1),(DATE(YEAR(Q183)+1,1,1)-Q183)/(DATE(YEAR(Q183),12,31)-DATE(YEAR(Q183),1,1)+1)+(R183-DATE(YEAR(R183),1,1))/(DATE(YEAR(R183),12,31)-DATE(YEAR(R183),1,1)+1)))),2)+IF(R183&lt;'Навигатор накоплений'!F24,N('Навигатор накоплений'!G24),0))+0*LEN("S183"))</f>
        <v/>
      </c>
      <c r="T183" s="45" t="str">
        <f>IF(OR(U182="",U182&gt;='Навигатор накоплений'!F27),"",(U182)+0*LEN("T183"))</f>
        <v/>
      </c>
      <c r="U183" s="45" t="str">
        <f>IF(T183="","",(MIN(EDATE(T183,1),'Навигатор накоплений'!F27))+0*LEN("U183"))</f>
        <v/>
      </c>
      <c r="V183" s="46" t="str">
        <f>IF(U183="","",(ROUND(V182*(1+'Навигатор накоплений'!D27*(IF(YEAR(T183)=YEAR(U183-1),(U183-T183)/(DATE(YEAR(T183),12,31)-DATE(YEAR(T183),1,1)+1),(DATE(YEAR(T183)+1,1,1)-T183)/(DATE(YEAR(T183),12,31)-DATE(YEAR(T183),1,1)+1)+(U183-DATE(YEAR(U183),1,1))/(DATE(YEAR(U183),12,31)-DATE(YEAR(U183),1,1)+1)))),2)+IF(U183&lt;'Навигатор накоплений'!F27,N('Навигатор накоплений'!G27),0))+0*LEN("V183"))</f>
        <v/>
      </c>
    </row>
    <row r="184" spans="11:22" ht="15" x14ac:dyDescent="0.2">
      <c r="K184" s="45" t="str">
        <f>IF(OR(L183="",L183&gt;='Навигатор накоплений'!F22),"",(L183)+0*LEN("K184"))</f>
        <v/>
      </c>
      <c r="L184" s="45" t="str">
        <f>IF(K184="","",(MIN(EDATE(K184,1),'Навигатор накоплений'!F22))+0*LEN("L184"))</f>
        <v/>
      </c>
      <c r="M184" s="46" t="str">
        <f>IF(L184="","",(ROUND(M183*(1+'Навигатор накоплений'!D22*(IF(YEAR(K184)=YEAR(L184-1),(L184-K184)/(DATE(YEAR(K184),12,31)-DATE(YEAR(K184),1,1)+1),(DATE(YEAR(K184)+1,1,1)-K184)/(DATE(YEAR(K184),12,31)-DATE(YEAR(K184),1,1)+1)+(L184-DATE(YEAR(L184),1,1))/(DATE(YEAR(L184),12,31)-DATE(YEAR(L184),1,1)+1)))),2)+IF(L184&lt;'Навигатор накоплений'!F22,N('Навигатор накоплений'!G22),0))+0*LEN("M184"))</f>
        <v/>
      </c>
      <c r="N184" s="45" t="str">
        <f>IF(OR(O183="",O183&gt;='Навигатор накоплений'!F23),"",(O183)+0*LEN("N184"))</f>
        <v/>
      </c>
      <c r="O184" s="45" t="str">
        <f>IF(N184="","",(MIN(EDATE(N184,1),'Навигатор накоплений'!F23))+0*LEN("O184"))</f>
        <v/>
      </c>
      <c r="P184" s="46" t="str">
        <f>IF(O184="","",(ROUND(P183*(1+'Навигатор накоплений'!D23*(IF(YEAR(N184)=YEAR(O184-1),(O184-N184)/(DATE(YEAR(N184),12,31)-DATE(YEAR(N184),1,1)+1),(DATE(YEAR(N184)+1,1,1)-N184)/(DATE(YEAR(N184),12,31)-DATE(YEAR(N184),1,1)+1)+(O184-DATE(YEAR(O184),1,1))/(DATE(YEAR(O184),12,31)-DATE(YEAR(O184),1,1)+1)))),2)+IF(O184&lt;'Навигатор накоплений'!F23,N('Навигатор накоплений'!G23),0))+0*LEN("P184"))</f>
        <v/>
      </c>
      <c r="Q184" s="45" t="str">
        <f>IF(OR(R183="",R183&gt;='Навигатор накоплений'!F24),"",(R183)+0*LEN("Q184"))</f>
        <v/>
      </c>
      <c r="R184" s="45" t="str">
        <f>IF(Q184="","",(MIN(EDATE(Q184,1),'Навигатор накоплений'!F24))+0*LEN("R184"))</f>
        <v/>
      </c>
      <c r="S184" s="46" t="str">
        <f>IF(R184="","",(ROUND(S183*(1+'Навигатор накоплений'!D24*(IF(YEAR(Q184)=YEAR(R184-1),(R184-Q184)/(DATE(YEAR(Q184),12,31)-DATE(YEAR(Q184),1,1)+1),(DATE(YEAR(Q184)+1,1,1)-Q184)/(DATE(YEAR(Q184),12,31)-DATE(YEAR(Q184),1,1)+1)+(R184-DATE(YEAR(R184),1,1))/(DATE(YEAR(R184),12,31)-DATE(YEAR(R184),1,1)+1)))),2)+IF(R184&lt;'Навигатор накоплений'!F24,N('Навигатор накоплений'!G24),0))+0*LEN("S184"))</f>
        <v/>
      </c>
      <c r="T184" s="45" t="str">
        <f>IF(OR(U183="",U183&gt;='Навигатор накоплений'!F27),"",(U183)+0*LEN("T184"))</f>
        <v/>
      </c>
      <c r="U184" s="45" t="str">
        <f>IF(T184="","",(MIN(EDATE(T184,1),'Навигатор накоплений'!F27))+0*LEN("U184"))</f>
        <v/>
      </c>
      <c r="V184" s="46" t="str">
        <f>IF(U184="","",(ROUND(V183*(1+'Навигатор накоплений'!D27*(IF(YEAR(T184)=YEAR(U184-1),(U184-T184)/(DATE(YEAR(T184),12,31)-DATE(YEAR(T184),1,1)+1),(DATE(YEAR(T184)+1,1,1)-T184)/(DATE(YEAR(T184),12,31)-DATE(YEAR(T184),1,1)+1)+(U184-DATE(YEAR(U184),1,1))/(DATE(YEAR(U184),12,31)-DATE(YEAR(U184),1,1)+1)))),2)+IF(U184&lt;'Навигатор накоплений'!F27,N('Навигатор накоплений'!G27),0))+0*LEN("V184"))</f>
        <v/>
      </c>
    </row>
    <row r="185" spans="11:22" ht="15" x14ac:dyDescent="0.2">
      <c r="K185" s="45" t="str">
        <f>IF(OR(L184="",L184&gt;='Навигатор накоплений'!F22),"",(L184)+0*LEN("K185"))</f>
        <v/>
      </c>
      <c r="L185" s="45" t="str">
        <f>IF(K185="","",(MIN(EDATE(K185,1),'Навигатор накоплений'!F22))+0*LEN("L185"))</f>
        <v/>
      </c>
      <c r="M185" s="46" t="str">
        <f>IF(L185="","",(ROUND(M184*(1+'Навигатор накоплений'!D22*(IF(YEAR(K185)=YEAR(L185-1),(L185-K185)/(DATE(YEAR(K185),12,31)-DATE(YEAR(K185),1,1)+1),(DATE(YEAR(K185)+1,1,1)-K185)/(DATE(YEAR(K185),12,31)-DATE(YEAR(K185),1,1)+1)+(L185-DATE(YEAR(L185),1,1))/(DATE(YEAR(L185),12,31)-DATE(YEAR(L185),1,1)+1)))),2)+IF(L185&lt;'Навигатор накоплений'!F22,N('Навигатор накоплений'!G22),0))+0*LEN("M185"))</f>
        <v/>
      </c>
      <c r="N185" s="45" t="str">
        <f>IF(OR(O184="",O184&gt;='Навигатор накоплений'!F23),"",(O184)+0*LEN("N185"))</f>
        <v/>
      </c>
      <c r="O185" s="45" t="str">
        <f>IF(N185="","",(MIN(EDATE(N185,1),'Навигатор накоплений'!F23))+0*LEN("O185"))</f>
        <v/>
      </c>
      <c r="P185" s="46" t="str">
        <f>IF(O185="","",(ROUND(P184*(1+'Навигатор накоплений'!D23*(IF(YEAR(N185)=YEAR(O185-1),(O185-N185)/(DATE(YEAR(N185),12,31)-DATE(YEAR(N185),1,1)+1),(DATE(YEAR(N185)+1,1,1)-N185)/(DATE(YEAR(N185),12,31)-DATE(YEAR(N185),1,1)+1)+(O185-DATE(YEAR(O185),1,1))/(DATE(YEAR(O185),12,31)-DATE(YEAR(O185),1,1)+1)))),2)+IF(O185&lt;'Навигатор накоплений'!F23,N('Навигатор накоплений'!G23),0))+0*LEN("P185"))</f>
        <v/>
      </c>
      <c r="Q185" s="45" t="str">
        <f>IF(OR(R184="",R184&gt;='Навигатор накоплений'!F24),"",(R184)+0*LEN("Q185"))</f>
        <v/>
      </c>
      <c r="R185" s="45" t="str">
        <f>IF(Q185="","",(MIN(EDATE(Q185,1),'Навигатор накоплений'!F24))+0*LEN("R185"))</f>
        <v/>
      </c>
      <c r="S185" s="46" t="str">
        <f>IF(R185="","",(ROUND(S184*(1+'Навигатор накоплений'!D24*(IF(YEAR(Q185)=YEAR(R185-1),(R185-Q185)/(DATE(YEAR(Q185),12,31)-DATE(YEAR(Q185),1,1)+1),(DATE(YEAR(Q185)+1,1,1)-Q185)/(DATE(YEAR(Q185),12,31)-DATE(YEAR(Q185),1,1)+1)+(R185-DATE(YEAR(R185),1,1))/(DATE(YEAR(R185),12,31)-DATE(YEAR(R185),1,1)+1)))),2)+IF(R185&lt;'Навигатор накоплений'!F24,N('Навигатор накоплений'!G24),0))+0*LEN("S185"))</f>
        <v/>
      </c>
      <c r="T185" s="45" t="str">
        <f>IF(OR(U184="",U184&gt;='Навигатор накоплений'!F27),"",(U184)+0*LEN("T185"))</f>
        <v/>
      </c>
      <c r="U185" s="45" t="str">
        <f>IF(T185="","",(MIN(EDATE(T185,1),'Навигатор накоплений'!F27))+0*LEN("U185"))</f>
        <v/>
      </c>
      <c r="V185" s="46" t="str">
        <f>IF(U185="","",(ROUND(V184*(1+'Навигатор накоплений'!D27*(IF(YEAR(T185)=YEAR(U185-1),(U185-T185)/(DATE(YEAR(T185),12,31)-DATE(YEAR(T185),1,1)+1),(DATE(YEAR(T185)+1,1,1)-T185)/(DATE(YEAR(T185),12,31)-DATE(YEAR(T185),1,1)+1)+(U185-DATE(YEAR(U185),1,1))/(DATE(YEAR(U185),12,31)-DATE(YEAR(U185),1,1)+1)))),2)+IF(U185&lt;'Навигатор накоплений'!F27,N('Навигатор накоплений'!G27),0))+0*LEN("V185"))</f>
        <v/>
      </c>
    </row>
    <row r="186" spans="11:22" ht="15" x14ac:dyDescent="0.2">
      <c r="K186" s="45" t="str">
        <f>IF(OR(L185="",L185&gt;='Навигатор накоплений'!F22),"",(L185)+0*LEN("K186"))</f>
        <v/>
      </c>
      <c r="L186" s="45" t="str">
        <f>IF(K186="","",(MIN(EDATE(K186,1),'Навигатор накоплений'!F22))+0*LEN("L186"))</f>
        <v/>
      </c>
      <c r="M186" s="46" t="str">
        <f>IF(L186="","",(ROUND(M185*(1+'Навигатор накоплений'!D22*(IF(YEAR(K186)=YEAR(L186-1),(L186-K186)/(DATE(YEAR(K186),12,31)-DATE(YEAR(K186),1,1)+1),(DATE(YEAR(K186)+1,1,1)-K186)/(DATE(YEAR(K186),12,31)-DATE(YEAR(K186),1,1)+1)+(L186-DATE(YEAR(L186),1,1))/(DATE(YEAR(L186),12,31)-DATE(YEAR(L186),1,1)+1)))),2)+IF(L186&lt;'Навигатор накоплений'!F22,N('Навигатор накоплений'!G22),0))+0*LEN("M186"))</f>
        <v/>
      </c>
      <c r="N186" s="45" t="str">
        <f>IF(OR(O185="",O185&gt;='Навигатор накоплений'!F23),"",(O185)+0*LEN("N186"))</f>
        <v/>
      </c>
      <c r="O186" s="45" t="str">
        <f>IF(N186="","",(MIN(EDATE(N186,1),'Навигатор накоплений'!F23))+0*LEN("O186"))</f>
        <v/>
      </c>
      <c r="P186" s="46" t="str">
        <f>IF(O186="","",(ROUND(P185*(1+'Навигатор накоплений'!D23*(IF(YEAR(N186)=YEAR(O186-1),(O186-N186)/(DATE(YEAR(N186),12,31)-DATE(YEAR(N186),1,1)+1),(DATE(YEAR(N186)+1,1,1)-N186)/(DATE(YEAR(N186),12,31)-DATE(YEAR(N186),1,1)+1)+(O186-DATE(YEAR(O186),1,1))/(DATE(YEAR(O186),12,31)-DATE(YEAR(O186),1,1)+1)))),2)+IF(O186&lt;'Навигатор накоплений'!F23,N('Навигатор накоплений'!G23),0))+0*LEN("P186"))</f>
        <v/>
      </c>
      <c r="Q186" s="45" t="str">
        <f>IF(OR(R185="",R185&gt;='Навигатор накоплений'!F24),"",(R185)+0*LEN("Q186"))</f>
        <v/>
      </c>
      <c r="R186" s="45" t="str">
        <f>IF(Q186="","",(MIN(EDATE(Q186,1),'Навигатор накоплений'!F24))+0*LEN("R186"))</f>
        <v/>
      </c>
      <c r="S186" s="46" t="str">
        <f>IF(R186="","",(ROUND(S185*(1+'Навигатор накоплений'!D24*(IF(YEAR(Q186)=YEAR(R186-1),(R186-Q186)/(DATE(YEAR(Q186),12,31)-DATE(YEAR(Q186),1,1)+1),(DATE(YEAR(Q186)+1,1,1)-Q186)/(DATE(YEAR(Q186),12,31)-DATE(YEAR(Q186),1,1)+1)+(R186-DATE(YEAR(R186),1,1))/(DATE(YEAR(R186),12,31)-DATE(YEAR(R186),1,1)+1)))),2)+IF(R186&lt;'Навигатор накоплений'!F24,N('Навигатор накоплений'!G24),0))+0*LEN("S186"))</f>
        <v/>
      </c>
      <c r="T186" s="45" t="str">
        <f>IF(OR(U185="",U185&gt;='Навигатор накоплений'!F27),"",(U185)+0*LEN("T186"))</f>
        <v/>
      </c>
      <c r="U186" s="45" t="str">
        <f>IF(T186="","",(MIN(EDATE(T186,1),'Навигатор накоплений'!F27))+0*LEN("U186"))</f>
        <v/>
      </c>
      <c r="V186" s="46" t="str">
        <f>IF(U186="","",(ROUND(V185*(1+'Навигатор накоплений'!D27*(IF(YEAR(T186)=YEAR(U186-1),(U186-T186)/(DATE(YEAR(T186),12,31)-DATE(YEAR(T186),1,1)+1),(DATE(YEAR(T186)+1,1,1)-T186)/(DATE(YEAR(T186),12,31)-DATE(YEAR(T186),1,1)+1)+(U186-DATE(YEAR(U186),1,1))/(DATE(YEAR(U186),12,31)-DATE(YEAR(U186),1,1)+1)))),2)+IF(U186&lt;'Навигатор накоплений'!F27,N('Навигатор накоплений'!G27),0))+0*LEN("V186"))</f>
        <v/>
      </c>
    </row>
    <row r="187" spans="11:22" ht="15" x14ac:dyDescent="0.2">
      <c r="K187" s="45" t="str">
        <f>IF(OR(L186="",L186&gt;='Навигатор накоплений'!F22),"",(L186)+0*LEN("K187"))</f>
        <v/>
      </c>
      <c r="L187" s="45" t="str">
        <f>IF(K187="","",(MIN(EDATE(K187,1),'Навигатор накоплений'!F22))+0*LEN("L187"))</f>
        <v/>
      </c>
      <c r="M187" s="46" t="str">
        <f>IF(L187="","",(ROUND(M186*(1+'Навигатор накоплений'!D22*(IF(YEAR(K187)=YEAR(L187-1),(L187-K187)/(DATE(YEAR(K187),12,31)-DATE(YEAR(K187),1,1)+1),(DATE(YEAR(K187)+1,1,1)-K187)/(DATE(YEAR(K187),12,31)-DATE(YEAR(K187),1,1)+1)+(L187-DATE(YEAR(L187),1,1))/(DATE(YEAR(L187),12,31)-DATE(YEAR(L187),1,1)+1)))),2)+IF(L187&lt;'Навигатор накоплений'!F22,N('Навигатор накоплений'!G22),0))+0*LEN("M187"))</f>
        <v/>
      </c>
      <c r="N187" s="45" t="str">
        <f>IF(OR(O186="",O186&gt;='Навигатор накоплений'!F23),"",(O186)+0*LEN("N187"))</f>
        <v/>
      </c>
      <c r="O187" s="45" t="str">
        <f>IF(N187="","",(MIN(EDATE(N187,1),'Навигатор накоплений'!F23))+0*LEN("O187"))</f>
        <v/>
      </c>
      <c r="P187" s="46" t="str">
        <f>IF(O187="","",(ROUND(P186*(1+'Навигатор накоплений'!D23*(IF(YEAR(N187)=YEAR(O187-1),(O187-N187)/(DATE(YEAR(N187),12,31)-DATE(YEAR(N187),1,1)+1),(DATE(YEAR(N187)+1,1,1)-N187)/(DATE(YEAR(N187),12,31)-DATE(YEAR(N187),1,1)+1)+(O187-DATE(YEAR(O187),1,1))/(DATE(YEAR(O187),12,31)-DATE(YEAR(O187),1,1)+1)))),2)+IF(O187&lt;'Навигатор накоплений'!F23,N('Навигатор накоплений'!G23),0))+0*LEN("P187"))</f>
        <v/>
      </c>
      <c r="Q187" s="45" t="str">
        <f>IF(OR(R186="",R186&gt;='Навигатор накоплений'!F24),"",(R186)+0*LEN("Q187"))</f>
        <v/>
      </c>
      <c r="R187" s="45" t="str">
        <f>IF(Q187="","",(MIN(EDATE(Q187,1),'Навигатор накоплений'!F24))+0*LEN("R187"))</f>
        <v/>
      </c>
      <c r="S187" s="46" t="str">
        <f>IF(R187="","",(ROUND(S186*(1+'Навигатор накоплений'!D24*(IF(YEAR(Q187)=YEAR(R187-1),(R187-Q187)/(DATE(YEAR(Q187),12,31)-DATE(YEAR(Q187),1,1)+1),(DATE(YEAR(Q187)+1,1,1)-Q187)/(DATE(YEAR(Q187),12,31)-DATE(YEAR(Q187),1,1)+1)+(R187-DATE(YEAR(R187),1,1))/(DATE(YEAR(R187),12,31)-DATE(YEAR(R187),1,1)+1)))),2)+IF(R187&lt;'Навигатор накоплений'!F24,N('Навигатор накоплений'!G24),0))+0*LEN("S187"))</f>
        <v/>
      </c>
      <c r="T187" s="45" t="str">
        <f>IF(OR(U186="",U186&gt;='Навигатор накоплений'!F27),"",(U186)+0*LEN("T187"))</f>
        <v/>
      </c>
      <c r="U187" s="45" t="str">
        <f>IF(T187="","",(MIN(EDATE(T187,1),'Навигатор накоплений'!F27))+0*LEN("U187"))</f>
        <v/>
      </c>
      <c r="V187" s="46" t="str">
        <f>IF(U187="","",(ROUND(V186*(1+'Навигатор накоплений'!D27*(IF(YEAR(T187)=YEAR(U187-1),(U187-T187)/(DATE(YEAR(T187),12,31)-DATE(YEAR(T187),1,1)+1),(DATE(YEAR(T187)+1,1,1)-T187)/(DATE(YEAR(T187),12,31)-DATE(YEAR(T187),1,1)+1)+(U187-DATE(YEAR(U187),1,1))/(DATE(YEAR(U187),12,31)-DATE(YEAR(U187),1,1)+1)))),2)+IF(U187&lt;'Навигатор накоплений'!F27,N('Навигатор накоплений'!G27),0))+0*LEN("V187"))</f>
        <v/>
      </c>
    </row>
    <row r="188" spans="11:22" ht="15" x14ac:dyDescent="0.2">
      <c r="K188" s="45" t="str">
        <f>IF(OR(L187="",L187&gt;='Навигатор накоплений'!F22),"",(L187)+0*LEN("K188"))</f>
        <v/>
      </c>
      <c r="L188" s="45" t="str">
        <f>IF(K188="","",(MIN(EDATE(K188,1),'Навигатор накоплений'!F22))+0*LEN("L188"))</f>
        <v/>
      </c>
      <c r="M188" s="46" t="str">
        <f>IF(L188="","",(ROUND(M187*(1+'Навигатор накоплений'!D22*(IF(YEAR(K188)=YEAR(L188-1),(L188-K188)/(DATE(YEAR(K188),12,31)-DATE(YEAR(K188),1,1)+1),(DATE(YEAR(K188)+1,1,1)-K188)/(DATE(YEAR(K188),12,31)-DATE(YEAR(K188),1,1)+1)+(L188-DATE(YEAR(L188),1,1))/(DATE(YEAR(L188),12,31)-DATE(YEAR(L188),1,1)+1)))),2)+IF(L188&lt;'Навигатор накоплений'!F22,N('Навигатор накоплений'!G22),0))+0*LEN("M188"))</f>
        <v/>
      </c>
      <c r="N188" s="45" t="str">
        <f>IF(OR(O187="",O187&gt;='Навигатор накоплений'!F23),"",(O187)+0*LEN("N188"))</f>
        <v/>
      </c>
      <c r="O188" s="45" t="str">
        <f>IF(N188="","",(MIN(EDATE(N188,1),'Навигатор накоплений'!F23))+0*LEN("O188"))</f>
        <v/>
      </c>
      <c r="P188" s="46" t="str">
        <f>IF(O188="","",(ROUND(P187*(1+'Навигатор накоплений'!D23*(IF(YEAR(N188)=YEAR(O188-1),(O188-N188)/(DATE(YEAR(N188),12,31)-DATE(YEAR(N188),1,1)+1),(DATE(YEAR(N188)+1,1,1)-N188)/(DATE(YEAR(N188),12,31)-DATE(YEAR(N188),1,1)+1)+(O188-DATE(YEAR(O188),1,1))/(DATE(YEAR(O188),12,31)-DATE(YEAR(O188),1,1)+1)))),2)+IF(O188&lt;'Навигатор накоплений'!F23,N('Навигатор накоплений'!G23),0))+0*LEN("P188"))</f>
        <v/>
      </c>
      <c r="Q188" s="45" t="str">
        <f>IF(OR(R187="",R187&gt;='Навигатор накоплений'!F24),"",(R187)+0*LEN("Q188"))</f>
        <v/>
      </c>
      <c r="R188" s="45" t="str">
        <f>IF(Q188="","",(MIN(EDATE(Q188,1),'Навигатор накоплений'!F24))+0*LEN("R188"))</f>
        <v/>
      </c>
      <c r="S188" s="46" t="str">
        <f>IF(R188="","",(ROUND(S187*(1+'Навигатор накоплений'!D24*(IF(YEAR(Q188)=YEAR(R188-1),(R188-Q188)/(DATE(YEAR(Q188),12,31)-DATE(YEAR(Q188),1,1)+1),(DATE(YEAR(Q188)+1,1,1)-Q188)/(DATE(YEAR(Q188),12,31)-DATE(YEAR(Q188),1,1)+1)+(R188-DATE(YEAR(R188),1,1))/(DATE(YEAR(R188),12,31)-DATE(YEAR(R188),1,1)+1)))),2)+IF(R188&lt;'Навигатор накоплений'!F24,N('Навигатор накоплений'!G24),0))+0*LEN("S188"))</f>
        <v/>
      </c>
      <c r="T188" s="45" t="str">
        <f>IF(OR(U187="",U187&gt;='Навигатор накоплений'!F27),"",(U187)+0*LEN("T188"))</f>
        <v/>
      </c>
      <c r="U188" s="45" t="str">
        <f>IF(T188="","",(MIN(EDATE(T188,1),'Навигатор накоплений'!F27))+0*LEN("U188"))</f>
        <v/>
      </c>
      <c r="V188" s="46" t="str">
        <f>IF(U188="","",(ROUND(V187*(1+'Навигатор накоплений'!D27*(IF(YEAR(T188)=YEAR(U188-1),(U188-T188)/(DATE(YEAR(T188),12,31)-DATE(YEAR(T188),1,1)+1),(DATE(YEAR(T188)+1,1,1)-T188)/(DATE(YEAR(T188),12,31)-DATE(YEAR(T188),1,1)+1)+(U188-DATE(YEAR(U188),1,1))/(DATE(YEAR(U188),12,31)-DATE(YEAR(U188),1,1)+1)))),2)+IF(U188&lt;'Навигатор накоплений'!F27,N('Навигатор накоплений'!G27),0))+0*LEN("V188"))</f>
        <v/>
      </c>
    </row>
    <row r="189" spans="11:22" ht="15" x14ac:dyDescent="0.2">
      <c r="K189" s="45" t="str">
        <f>IF(OR(L188="",L188&gt;='Навигатор накоплений'!F22),"",(L188)+0*LEN("K189"))</f>
        <v/>
      </c>
      <c r="L189" s="45" t="str">
        <f>IF(K189="","",(MIN(EDATE(K189,1),'Навигатор накоплений'!F22))+0*LEN("L189"))</f>
        <v/>
      </c>
      <c r="M189" s="46" t="str">
        <f>IF(L189="","",(ROUND(M188*(1+'Навигатор накоплений'!D22*(IF(YEAR(K189)=YEAR(L189-1),(L189-K189)/(DATE(YEAR(K189),12,31)-DATE(YEAR(K189),1,1)+1),(DATE(YEAR(K189)+1,1,1)-K189)/(DATE(YEAR(K189),12,31)-DATE(YEAR(K189),1,1)+1)+(L189-DATE(YEAR(L189),1,1))/(DATE(YEAR(L189),12,31)-DATE(YEAR(L189),1,1)+1)))),2)+IF(L189&lt;'Навигатор накоплений'!F22,N('Навигатор накоплений'!G22),0))+0*LEN("M189"))</f>
        <v/>
      </c>
      <c r="N189" s="45" t="str">
        <f>IF(OR(O188="",O188&gt;='Навигатор накоплений'!F23),"",(O188)+0*LEN("N189"))</f>
        <v/>
      </c>
      <c r="O189" s="45" t="str">
        <f>IF(N189="","",(MIN(EDATE(N189,1),'Навигатор накоплений'!F23))+0*LEN("O189"))</f>
        <v/>
      </c>
      <c r="P189" s="46" t="str">
        <f>IF(O189="","",(ROUND(P188*(1+'Навигатор накоплений'!D23*(IF(YEAR(N189)=YEAR(O189-1),(O189-N189)/(DATE(YEAR(N189),12,31)-DATE(YEAR(N189),1,1)+1),(DATE(YEAR(N189)+1,1,1)-N189)/(DATE(YEAR(N189),12,31)-DATE(YEAR(N189),1,1)+1)+(O189-DATE(YEAR(O189),1,1))/(DATE(YEAR(O189),12,31)-DATE(YEAR(O189),1,1)+1)))),2)+IF(O189&lt;'Навигатор накоплений'!F23,N('Навигатор накоплений'!G23),0))+0*LEN("P189"))</f>
        <v/>
      </c>
      <c r="Q189" s="45" t="str">
        <f>IF(OR(R188="",R188&gt;='Навигатор накоплений'!F24),"",(R188)+0*LEN("Q189"))</f>
        <v/>
      </c>
      <c r="R189" s="45" t="str">
        <f>IF(Q189="","",(MIN(EDATE(Q189,1),'Навигатор накоплений'!F24))+0*LEN("R189"))</f>
        <v/>
      </c>
      <c r="S189" s="46" t="str">
        <f>IF(R189="","",(ROUND(S188*(1+'Навигатор накоплений'!D24*(IF(YEAR(Q189)=YEAR(R189-1),(R189-Q189)/(DATE(YEAR(Q189),12,31)-DATE(YEAR(Q189),1,1)+1),(DATE(YEAR(Q189)+1,1,1)-Q189)/(DATE(YEAR(Q189),12,31)-DATE(YEAR(Q189),1,1)+1)+(R189-DATE(YEAR(R189),1,1))/(DATE(YEAR(R189),12,31)-DATE(YEAR(R189),1,1)+1)))),2)+IF(R189&lt;'Навигатор накоплений'!F24,N('Навигатор накоплений'!G24),0))+0*LEN("S189"))</f>
        <v/>
      </c>
      <c r="T189" s="45" t="str">
        <f>IF(OR(U188="",U188&gt;='Навигатор накоплений'!F27),"",(U188)+0*LEN("T189"))</f>
        <v/>
      </c>
      <c r="U189" s="45" t="str">
        <f>IF(T189="","",(MIN(EDATE(T189,1),'Навигатор накоплений'!F27))+0*LEN("U189"))</f>
        <v/>
      </c>
      <c r="V189" s="46" t="str">
        <f>IF(U189="","",(ROUND(V188*(1+'Навигатор накоплений'!D27*(IF(YEAR(T189)=YEAR(U189-1),(U189-T189)/(DATE(YEAR(T189),12,31)-DATE(YEAR(T189),1,1)+1),(DATE(YEAR(T189)+1,1,1)-T189)/(DATE(YEAR(T189),12,31)-DATE(YEAR(T189),1,1)+1)+(U189-DATE(YEAR(U189),1,1))/(DATE(YEAR(U189),12,31)-DATE(YEAR(U189),1,1)+1)))),2)+IF(U189&lt;'Навигатор накоплений'!F27,N('Навигатор накоплений'!G27),0))+0*LEN("V189"))</f>
        <v/>
      </c>
    </row>
    <row r="190" spans="11:22" ht="15" x14ac:dyDescent="0.2">
      <c r="K190" s="45" t="str">
        <f>IF(OR(L189="",L189&gt;='Навигатор накоплений'!F22),"",(L189)+0*LEN("K190"))</f>
        <v/>
      </c>
      <c r="L190" s="45" t="str">
        <f>IF(K190="","",(MIN(EDATE(K190,1),'Навигатор накоплений'!F22))+0*LEN("L190"))</f>
        <v/>
      </c>
      <c r="M190" s="46" t="str">
        <f>IF(L190="","",(ROUND(M189*(1+'Навигатор накоплений'!D22*(IF(YEAR(K190)=YEAR(L190-1),(L190-K190)/(DATE(YEAR(K190),12,31)-DATE(YEAR(K190),1,1)+1),(DATE(YEAR(K190)+1,1,1)-K190)/(DATE(YEAR(K190),12,31)-DATE(YEAR(K190),1,1)+1)+(L190-DATE(YEAR(L190),1,1))/(DATE(YEAR(L190),12,31)-DATE(YEAR(L190),1,1)+1)))),2)+IF(L190&lt;'Навигатор накоплений'!F22,N('Навигатор накоплений'!G22),0))+0*LEN("M190"))</f>
        <v/>
      </c>
      <c r="N190" s="45" t="str">
        <f>IF(OR(O189="",O189&gt;='Навигатор накоплений'!F23),"",(O189)+0*LEN("N190"))</f>
        <v/>
      </c>
      <c r="O190" s="45" t="str">
        <f>IF(N190="","",(MIN(EDATE(N190,1),'Навигатор накоплений'!F23))+0*LEN("O190"))</f>
        <v/>
      </c>
      <c r="P190" s="46" t="str">
        <f>IF(O190="","",(ROUND(P189*(1+'Навигатор накоплений'!D23*(IF(YEAR(N190)=YEAR(O190-1),(O190-N190)/(DATE(YEAR(N190),12,31)-DATE(YEAR(N190),1,1)+1),(DATE(YEAR(N190)+1,1,1)-N190)/(DATE(YEAR(N190),12,31)-DATE(YEAR(N190),1,1)+1)+(O190-DATE(YEAR(O190),1,1))/(DATE(YEAR(O190),12,31)-DATE(YEAR(O190),1,1)+1)))),2)+IF(O190&lt;'Навигатор накоплений'!F23,N('Навигатор накоплений'!G23),0))+0*LEN("P190"))</f>
        <v/>
      </c>
      <c r="Q190" s="45" t="str">
        <f>IF(OR(R189="",R189&gt;='Навигатор накоплений'!F24),"",(R189)+0*LEN("Q190"))</f>
        <v/>
      </c>
      <c r="R190" s="45" t="str">
        <f>IF(Q190="","",(MIN(EDATE(Q190,1),'Навигатор накоплений'!F24))+0*LEN("R190"))</f>
        <v/>
      </c>
      <c r="S190" s="46" t="str">
        <f>IF(R190="","",(ROUND(S189*(1+'Навигатор накоплений'!D24*(IF(YEAR(Q190)=YEAR(R190-1),(R190-Q190)/(DATE(YEAR(Q190),12,31)-DATE(YEAR(Q190),1,1)+1),(DATE(YEAR(Q190)+1,1,1)-Q190)/(DATE(YEAR(Q190),12,31)-DATE(YEAR(Q190),1,1)+1)+(R190-DATE(YEAR(R190),1,1))/(DATE(YEAR(R190),12,31)-DATE(YEAR(R190),1,1)+1)))),2)+IF(R190&lt;'Навигатор накоплений'!F24,N('Навигатор накоплений'!G24),0))+0*LEN("S190"))</f>
        <v/>
      </c>
      <c r="T190" s="45" t="str">
        <f>IF(OR(U189="",U189&gt;='Навигатор накоплений'!F27),"",(U189)+0*LEN("T190"))</f>
        <v/>
      </c>
      <c r="U190" s="45" t="str">
        <f>IF(T190="","",(MIN(EDATE(T190,1),'Навигатор накоплений'!F27))+0*LEN("U190"))</f>
        <v/>
      </c>
      <c r="V190" s="46" t="str">
        <f>IF(U190="","",(ROUND(V189*(1+'Навигатор накоплений'!D27*(IF(YEAR(T190)=YEAR(U190-1),(U190-T190)/(DATE(YEAR(T190),12,31)-DATE(YEAR(T190),1,1)+1),(DATE(YEAR(T190)+1,1,1)-T190)/(DATE(YEAR(T190),12,31)-DATE(YEAR(T190),1,1)+1)+(U190-DATE(YEAR(U190),1,1))/(DATE(YEAR(U190),12,31)-DATE(YEAR(U190),1,1)+1)))),2)+IF(U190&lt;'Навигатор накоплений'!F27,N('Навигатор накоплений'!G27),0))+0*LEN("V190"))</f>
        <v/>
      </c>
    </row>
    <row r="191" spans="11:22" ht="15" x14ac:dyDescent="0.2">
      <c r="K191" s="45" t="str">
        <f>IF(OR(L190="",L190&gt;='Навигатор накоплений'!F22),"",(L190)+0*LEN("K191"))</f>
        <v/>
      </c>
      <c r="L191" s="45" t="str">
        <f>IF(K191="","",(MIN(EDATE(K191,1),'Навигатор накоплений'!F22))+0*LEN("L191"))</f>
        <v/>
      </c>
      <c r="M191" s="46" t="str">
        <f>IF(L191="","",(ROUND(M190*(1+'Навигатор накоплений'!D22*(IF(YEAR(K191)=YEAR(L191-1),(L191-K191)/(DATE(YEAR(K191),12,31)-DATE(YEAR(K191),1,1)+1),(DATE(YEAR(K191)+1,1,1)-K191)/(DATE(YEAR(K191),12,31)-DATE(YEAR(K191),1,1)+1)+(L191-DATE(YEAR(L191),1,1))/(DATE(YEAR(L191),12,31)-DATE(YEAR(L191),1,1)+1)))),2)+IF(L191&lt;'Навигатор накоплений'!F22,N('Навигатор накоплений'!G22),0))+0*LEN("M191"))</f>
        <v/>
      </c>
      <c r="N191" s="45" t="str">
        <f>IF(OR(O190="",O190&gt;='Навигатор накоплений'!F23),"",(O190)+0*LEN("N191"))</f>
        <v/>
      </c>
      <c r="O191" s="45" t="str">
        <f>IF(N191="","",(MIN(EDATE(N191,1),'Навигатор накоплений'!F23))+0*LEN("O191"))</f>
        <v/>
      </c>
      <c r="P191" s="46" t="str">
        <f>IF(O191="","",(ROUND(P190*(1+'Навигатор накоплений'!D23*(IF(YEAR(N191)=YEAR(O191-1),(O191-N191)/(DATE(YEAR(N191),12,31)-DATE(YEAR(N191),1,1)+1),(DATE(YEAR(N191)+1,1,1)-N191)/(DATE(YEAR(N191),12,31)-DATE(YEAR(N191),1,1)+1)+(O191-DATE(YEAR(O191),1,1))/(DATE(YEAR(O191),12,31)-DATE(YEAR(O191),1,1)+1)))),2)+IF(O191&lt;'Навигатор накоплений'!F23,N('Навигатор накоплений'!G23),0))+0*LEN("P191"))</f>
        <v/>
      </c>
      <c r="Q191" s="45" t="str">
        <f>IF(OR(R190="",R190&gt;='Навигатор накоплений'!F24),"",(R190)+0*LEN("Q191"))</f>
        <v/>
      </c>
      <c r="R191" s="45" t="str">
        <f>IF(Q191="","",(MIN(EDATE(Q191,1),'Навигатор накоплений'!F24))+0*LEN("R191"))</f>
        <v/>
      </c>
      <c r="S191" s="46" t="str">
        <f>IF(R191="","",(ROUND(S190*(1+'Навигатор накоплений'!D24*(IF(YEAR(Q191)=YEAR(R191-1),(R191-Q191)/(DATE(YEAR(Q191),12,31)-DATE(YEAR(Q191),1,1)+1),(DATE(YEAR(Q191)+1,1,1)-Q191)/(DATE(YEAR(Q191),12,31)-DATE(YEAR(Q191),1,1)+1)+(R191-DATE(YEAR(R191),1,1))/(DATE(YEAR(R191),12,31)-DATE(YEAR(R191),1,1)+1)))),2)+IF(R191&lt;'Навигатор накоплений'!F24,N('Навигатор накоплений'!G24),0))+0*LEN("S191"))</f>
        <v/>
      </c>
      <c r="T191" s="45" t="str">
        <f>IF(OR(U190="",U190&gt;='Навигатор накоплений'!F27),"",(U190)+0*LEN("T191"))</f>
        <v/>
      </c>
      <c r="U191" s="45" t="str">
        <f>IF(T191="","",(MIN(EDATE(T191,1),'Навигатор накоплений'!F27))+0*LEN("U191"))</f>
        <v/>
      </c>
      <c r="V191" s="46" t="str">
        <f>IF(U191="","",(ROUND(V190*(1+'Навигатор накоплений'!D27*(IF(YEAR(T191)=YEAR(U191-1),(U191-T191)/(DATE(YEAR(T191),12,31)-DATE(YEAR(T191),1,1)+1),(DATE(YEAR(T191)+1,1,1)-T191)/(DATE(YEAR(T191),12,31)-DATE(YEAR(T191),1,1)+1)+(U191-DATE(YEAR(U191),1,1))/(DATE(YEAR(U191),12,31)-DATE(YEAR(U191),1,1)+1)))),2)+IF(U191&lt;'Навигатор накоплений'!F27,N('Навигатор накоплений'!G27),0))+0*LEN("V191"))</f>
        <v/>
      </c>
    </row>
    <row r="192" spans="11:22" ht="15" x14ac:dyDescent="0.2">
      <c r="K192" s="45" t="str">
        <f>IF(OR(L191="",L191&gt;='Навигатор накоплений'!F22),"",(L191)+0*LEN("K192"))</f>
        <v/>
      </c>
      <c r="L192" s="45" t="str">
        <f>IF(K192="","",(MIN(EDATE(K192,1),'Навигатор накоплений'!F22))+0*LEN("L192"))</f>
        <v/>
      </c>
      <c r="M192" s="46" t="str">
        <f>IF(L192="","",(ROUND(M191*(1+'Навигатор накоплений'!D22*(IF(YEAR(K192)=YEAR(L192-1),(L192-K192)/(DATE(YEAR(K192),12,31)-DATE(YEAR(K192),1,1)+1),(DATE(YEAR(K192)+1,1,1)-K192)/(DATE(YEAR(K192),12,31)-DATE(YEAR(K192),1,1)+1)+(L192-DATE(YEAR(L192),1,1))/(DATE(YEAR(L192),12,31)-DATE(YEAR(L192),1,1)+1)))),2)+IF(L192&lt;'Навигатор накоплений'!F22,N('Навигатор накоплений'!G22),0))+0*LEN("M192"))</f>
        <v/>
      </c>
      <c r="N192" s="45" t="str">
        <f>IF(OR(O191="",O191&gt;='Навигатор накоплений'!F23),"",(O191)+0*LEN("N192"))</f>
        <v/>
      </c>
      <c r="O192" s="45" t="str">
        <f>IF(N192="","",(MIN(EDATE(N192,1),'Навигатор накоплений'!F23))+0*LEN("O192"))</f>
        <v/>
      </c>
      <c r="P192" s="46" t="str">
        <f>IF(O192="","",(ROUND(P191*(1+'Навигатор накоплений'!D23*(IF(YEAR(N192)=YEAR(O192-1),(O192-N192)/(DATE(YEAR(N192),12,31)-DATE(YEAR(N192),1,1)+1),(DATE(YEAR(N192)+1,1,1)-N192)/(DATE(YEAR(N192),12,31)-DATE(YEAR(N192),1,1)+1)+(O192-DATE(YEAR(O192),1,1))/(DATE(YEAR(O192),12,31)-DATE(YEAR(O192),1,1)+1)))),2)+IF(O192&lt;'Навигатор накоплений'!F23,N('Навигатор накоплений'!G23),0))+0*LEN("P192"))</f>
        <v/>
      </c>
      <c r="Q192" s="45" t="str">
        <f>IF(OR(R191="",R191&gt;='Навигатор накоплений'!F24),"",(R191)+0*LEN("Q192"))</f>
        <v/>
      </c>
      <c r="R192" s="45" t="str">
        <f>IF(Q192="","",(MIN(EDATE(Q192,1),'Навигатор накоплений'!F24))+0*LEN("R192"))</f>
        <v/>
      </c>
      <c r="S192" s="46" t="str">
        <f>IF(R192="","",(ROUND(S191*(1+'Навигатор накоплений'!D24*(IF(YEAR(Q192)=YEAR(R192-1),(R192-Q192)/(DATE(YEAR(Q192),12,31)-DATE(YEAR(Q192),1,1)+1),(DATE(YEAR(Q192)+1,1,1)-Q192)/(DATE(YEAR(Q192),12,31)-DATE(YEAR(Q192),1,1)+1)+(R192-DATE(YEAR(R192),1,1))/(DATE(YEAR(R192),12,31)-DATE(YEAR(R192),1,1)+1)))),2)+IF(R192&lt;'Навигатор накоплений'!F24,N('Навигатор накоплений'!G24),0))+0*LEN("S192"))</f>
        <v/>
      </c>
      <c r="T192" s="45" t="str">
        <f>IF(OR(U191="",U191&gt;='Навигатор накоплений'!F27),"",(U191)+0*LEN("T192"))</f>
        <v/>
      </c>
      <c r="U192" s="45" t="str">
        <f>IF(T192="","",(MIN(EDATE(T192,1),'Навигатор накоплений'!F27))+0*LEN("U192"))</f>
        <v/>
      </c>
      <c r="V192" s="46" t="str">
        <f>IF(U192="","",(ROUND(V191*(1+'Навигатор накоплений'!D27*(IF(YEAR(T192)=YEAR(U192-1),(U192-T192)/(DATE(YEAR(T192),12,31)-DATE(YEAR(T192),1,1)+1),(DATE(YEAR(T192)+1,1,1)-T192)/(DATE(YEAR(T192),12,31)-DATE(YEAR(T192),1,1)+1)+(U192-DATE(YEAR(U192),1,1))/(DATE(YEAR(U192),12,31)-DATE(YEAR(U192),1,1)+1)))),2)+IF(U192&lt;'Навигатор накоплений'!F27,N('Навигатор накоплений'!G27),0))+0*LEN("V192"))</f>
        <v/>
      </c>
    </row>
    <row r="193" spans="11:22" ht="15" x14ac:dyDescent="0.2">
      <c r="K193" s="45" t="str">
        <f>IF(OR(L192="",L192&gt;='Навигатор накоплений'!F22),"",(L192)+0*LEN("K193"))</f>
        <v/>
      </c>
      <c r="L193" s="45" t="str">
        <f>IF(K193="","",(MIN(EDATE(K193,1),'Навигатор накоплений'!F22))+0*LEN("L193"))</f>
        <v/>
      </c>
      <c r="M193" s="46" t="str">
        <f>IF(L193="","",(ROUND(M192*(1+'Навигатор накоплений'!D22*(IF(YEAR(K193)=YEAR(L193-1),(L193-K193)/(DATE(YEAR(K193),12,31)-DATE(YEAR(K193),1,1)+1),(DATE(YEAR(K193)+1,1,1)-K193)/(DATE(YEAR(K193),12,31)-DATE(YEAR(K193),1,1)+1)+(L193-DATE(YEAR(L193),1,1))/(DATE(YEAR(L193),12,31)-DATE(YEAR(L193),1,1)+1)))),2)+IF(L193&lt;'Навигатор накоплений'!F22,N('Навигатор накоплений'!G22),0))+0*LEN("M193"))</f>
        <v/>
      </c>
      <c r="N193" s="45" t="str">
        <f>IF(OR(O192="",O192&gt;='Навигатор накоплений'!F23),"",(O192)+0*LEN("N193"))</f>
        <v/>
      </c>
      <c r="O193" s="45" t="str">
        <f>IF(N193="","",(MIN(EDATE(N193,1),'Навигатор накоплений'!F23))+0*LEN("O193"))</f>
        <v/>
      </c>
      <c r="P193" s="46" t="str">
        <f>IF(O193="","",(ROUND(P192*(1+'Навигатор накоплений'!D23*(IF(YEAR(N193)=YEAR(O193-1),(O193-N193)/(DATE(YEAR(N193),12,31)-DATE(YEAR(N193),1,1)+1),(DATE(YEAR(N193)+1,1,1)-N193)/(DATE(YEAR(N193),12,31)-DATE(YEAR(N193),1,1)+1)+(O193-DATE(YEAR(O193),1,1))/(DATE(YEAR(O193),12,31)-DATE(YEAR(O193),1,1)+1)))),2)+IF(O193&lt;'Навигатор накоплений'!F23,N('Навигатор накоплений'!G23),0))+0*LEN("P193"))</f>
        <v/>
      </c>
      <c r="Q193" s="45" t="str">
        <f>IF(OR(R192="",R192&gt;='Навигатор накоплений'!F24),"",(R192)+0*LEN("Q193"))</f>
        <v/>
      </c>
      <c r="R193" s="45" t="str">
        <f>IF(Q193="","",(MIN(EDATE(Q193,1),'Навигатор накоплений'!F24))+0*LEN("R193"))</f>
        <v/>
      </c>
      <c r="S193" s="46" t="str">
        <f>IF(R193="","",(ROUND(S192*(1+'Навигатор накоплений'!D24*(IF(YEAR(Q193)=YEAR(R193-1),(R193-Q193)/(DATE(YEAR(Q193),12,31)-DATE(YEAR(Q193),1,1)+1),(DATE(YEAR(Q193)+1,1,1)-Q193)/(DATE(YEAR(Q193),12,31)-DATE(YEAR(Q193),1,1)+1)+(R193-DATE(YEAR(R193),1,1))/(DATE(YEAR(R193),12,31)-DATE(YEAR(R193),1,1)+1)))),2)+IF(R193&lt;'Навигатор накоплений'!F24,N('Навигатор накоплений'!G24),0))+0*LEN("S193"))</f>
        <v/>
      </c>
      <c r="T193" s="45" t="str">
        <f>IF(OR(U192="",U192&gt;='Навигатор накоплений'!F27),"",(U192)+0*LEN("T193"))</f>
        <v/>
      </c>
      <c r="U193" s="45" t="str">
        <f>IF(T193="","",(MIN(EDATE(T193,1),'Навигатор накоплений'!F27))+0*LEN("U193"))</f>
        <v/>
      </c>
      <c r="V193" s="46" t="str">
        <f>IF(U193="","",(ROUND(V192*(1+'Навигатор накоплений'!D27*(IF(YEAR(T193)=YEAR(U193-1),(U193-T193)/(DATE(YEAR(T193),12,31)-DATE(YEAR(T193),1,1)+1),(DATE(YEAR(T193)+1,1,1)-T193)/(DATE(YEAR(T193),12,31)-DATE(YEAR(T193),1,1)+1)+(U193-DATE(YEAR(U193),1,1))/(DATE(YEAR(U193),12,31)-DATE(YEAR(U193),1,1)+1)))),2)+IF(U193&lt;'Навигатор накоплений'!F27,N('Навигатор накоплений'!G27),0))+0*LEN("V193"))</f>
        <v/>
      </c>
    </row>
    <row r="194" spans="11:22" ht="15" x14ac:dyDescent="0.2">
      <c r="K194" s="45" t="str">
        <f>IF(OR(L193="",L193&gt;='Навигатор накоплений'!F22),"",(L193)+0*LEN("K194"))</f>
        <v/>
      </c>
      <c r="L194" s="45" t="str">
        <f>IF(K194="","",(MIN(EDATE(K194,1),'Навигатор накоплений'!F22))+0*LEN("L194"))</f>
        <v/>
      </c>
      <c r="M194" s="46" t="str">
        <f>IF(L194="","",(ROUND(M193*(1+'Навигатор накоплений'!D22*(IF(YEAR(K194)=YEAR(L194-1),(L194-K194)/(DATE(YEAR(K194),12,31)-DATE(YEAR(K194),1,1)+1),(DATE(YEAR(K194)+1,1,1)-K194)/(DATE(YEAR(K194),12,31)-DATE(YEAR(K194),1,1)+1)+(L194-DATE(YEAR(L194),1,1))/(DATE(YEAR(L194),12,31)-DATE(YEAR(L194),1,1)+1)))),2)+IF(L194&lt;'Навигатор накоплений'!F22,N('Навигатор накоплений'!G22),0))+0*LEN("M194"))</f>
        <v/>
      </c>
      <c r="N194" s="45" t="str">
        <f>IF(OR(O193="",O193&gt;='Навигатор накоплений'!F23),"",(O193)+0*LEN("N194"))</f>
        <v/>
      </c>
      <c r="O194" s="45" t="str">
        <f>IF(N194="","",(MIN(EDATE(N194,1),'Навигатор накоплений'!F23))+0*LEN("O194"))</f>
        <v/>
      </c>
      <c r="P194" s="46" t="str">
        <f>IF(O194="","",(ROUND(P193*(1+'Навигатор накоплений'!D23*(IF(YEAR(N194)=YEAR(O194-1),(O194-N194)/(DATE(YEAR(N194),12,31)-DATE(YEAR(N194),1,1)+1),(DATE(YEAR(N194)+1,1,1)-N194)/(DATE(YEAR(N194),12,31)-DATE(YEAR(N194),1,1)+1)+(O194-DATE(YEAR(O194),1,1))/(DATE(YEAR(O194),12,31)-DATE(YEAR(O194),1,1)+1)))),2)+IF(O194&lt;'Навигатор накоплений'!F23,N('Навигатор накоплений'!G23),0))+0*LEN("P194"))</f>
        <v/>
      </c>
      <c r="Q194" s="45" t="str">
        <f>IF(OR(R193="",R193&gt;='Навигатор накоплений'!F24),"",(R193)+0*LEN("Q194"))</f>
        <v/>
      </c>
      <c r="R194" s="45" t="str">
        <f>IF(Q194="","",(MIN(EDATE(Q194,1),'Навигатор накоплений'!F24))+0*LEN("R194"))</f>
        <v/>
      </c>
      <c r="S194" s="46" t="str">
        <f>IF(R194="","",(ROUND(S193*(1+'Навигатор накоплений'!D24*(IF(YEAR(Q194)=YEAR(R194-1),(R194-Q194)/(DATE(YEAR(Q194),12,31)-DATE(YEAR(Q194),1,1)+1),(DATE(YEAR(Q194)+1,1,1)-Q194)/(DATE(YEAR(Q194),12,31)-DATE(YEAR(Q194),1,1)+1)+(R194-DATE(YEAR(R194),1,1))/(DATE(YEAR(R194),12,31)-DATE(YEAR(R194),1,1)+1)))),2)+IF(R194&lt;'Навигатор накоплений'!F24,N('Навигатор накоплений'!G24),0))+0*LEN("S194"))</f>
        <v/>
      </c>
      <c r="T194" s="45" t="str">
        <f>IF(OR(U193="",U193&gt;='Навигатор накоплений'!F27),"",(U193)+0*LEN("T194"))</f>
        <v/>
      </c>
      <c r="U194" s="45" t="str">
        <f>IF(T194="","",(MIN(EDATE(T194,1),'Навигатор накоплений'!F27))+0*LEN("U194"))</f>
        <v/>
      </c>
      <c r="V194" s="46" t="str">
        <f>IF(U194="","",(ROUND(V193*(1+'Навигатор накоплений'!D27*(IF(YEAR(T194)=YEAR(U194-1),(U194-T194)/(DATE(YEAR(T194),12,31)-DATE(YEAR(T194),1,1)+1),(DATE(YEAR(T194)+1,1,1)-T194)/(DATE(YEAR(T194),12,31)-DATE(YEAR(T194),1,1)+1)+(U194-DATE(YEAR(U194),1,1))/(DATE(YEAR(U194),12,31)-DATE(YEAR(U194),1,1)+1)))),2)+IF(U194&lt;'Навигатор накоплений'!F27,N('Навигатор накоплений'!G27),0))+0*LEN("V194"))</f>
        <v/>
      </c>
    </row>
    <row r="195" spans="11:22" ht="15" x14ac:dyDescent="0.2">
      <c r="K195" s="45" t="str">
        <f>IF(OR(L194="",L194&gt;='Навигатор накоплений'!F22),"",(L194)+0*LEN("K195"))</f>
        <v/>
      </c>
      <c r="L195" s="45" t="str">
        <f>IF(K195="","",(MIN(EDATE(K195,1),'Навигатор накоплений'!F22))+0*LEN("L195"))</f>
        <v/>
      </c>
      <c r="M195" s="46" t="str">
        <f>IF(L195="","",(ROUND(M194*(1+'Навигатор накоплений'!D22*(IF(YEAR(K195)=YEAR(L195-1),(L195-K195)/(DATE(YEAR(K195),12,31)-DATE(YEAR(K195),1,1)+1),(DATE(YEAR(K195)+1,1,1)-K195)/(DATE(YEAR(K195),12,31)-DATE(YEAR(K195),1,1)+1)+(L195-DATE(YEAR(L195),1,1))/(DATE(YEAR(L195),12,31)-DATE(YEAR(L195),1,1)+1)))),2)+IF(L195&lt;'Навигатор накоплений'!F22,N('Навигатор накоплений'!G22),0))+0*LEN("M195"))</f>
        <v/>
      </c>
      <c r="N195" s="45" t="str">
        <f>IF(OR(O194="",O194&gt;='Навигатор накоплений'!F23),"",(O194)+0*LEN("N195"))</f>
        <v/>
      </c>
      <c r="O195" s="45" t="str">
        <f>IF(N195="","",(MIN(EDATE(N195,1),'Навигатор накоплений'!F23))+0*LEN("O195"))</f>
        <v/>
      </c>
      <c r="P195" s="46" t="str">
        <f>IF(O195="","",(ROUND(P194*(1+'Навигатор накоплений'!D23*(IF(YEAR(N195)=YEAR(O195-1),(O195-N195)/(DATE(YEAR(N195),12,31)-DATE(YEAR(N195),1,1)+1),(DATE(YEAR(N195)+1,1,1)-N195)/(DATE(YEAR(N195),12,31)-DATE(YEAR(N195),1,1)+1)+(O195-DATE(YEAR(O195),1,1))/(DATE(YEAR(O195),12,31)-DATE(YEAR(O195),1,1)+1)))),2)+IF(O195&lt;'Навигатор накоплений'!F23,N('Навигатор накоплений'!G23),0))+0*LEN("P195"))</f>
        <v/>
      </c>
      <c r="Q195" s="45" t="str">
        <f>IF(OR(R194="",R194&gt;='Навигатор накоплений'!F24),"",(R194)+0*LEN("Q195"))</f>
        <v/>
      </c>
      <c r="R195" s="45" t="str">
        <f>IF(Q195="","",(MIN(EDATE(Q195,1),'Навигатор накоплений'!F24))+0*LEN("R195"))</f>
        <v/>
      </c>
      <c r="S195" s="46" t="str">
        <f>IF(R195="","",(ROUND(S194*(1+'Навигатор накоплений'!D24*(IF(YEAR(Q195)=YEAR(R195-1),(R195-Q195)/(DATE(YEAR(Q195),12,31)-DATE(YEAR(Q195),1,1)+1),(DATE(YEAR(Q195)+1,1,1)-Q195)/(DATE(YEAR(Q195),12,31)-DATE(YEAR(Q195),1,1)+1)+(R195-DATE(YEAR(R195),1,1))/(DATE(YEAR(R195),12,31)-DATE(YEAR(R195),1,1)+1)))),2)+IF(R195&lt;'Навигатор накоплений'!F24,N('Навигатор накоплений'!G24),0))+0*LEN("S195"))</f>
        <v/>
      </c>
      <c r="T195" s="45" t="str">
        <f>IF(OR(U194="",U194&gt;='Навигатор накоплений'!F27),"",(U194)+0*LEN("T195"))</f>
        <v/>
      </c>
      <c r="U195" s="45" t="str">
        <f>IF(T195="","",(MIN(EDATE(T195,1),'Навигатор накоплений'!F27))+0*LEN("U195"))</f>
        <v/>
      </c>
      <c r="V195" s="46" t="str">
        <f>IF(U195="","",(ROUND(V194*(1+'Навигатор накоплений'!D27*(IF(YEAR(T195)=YEAR(U195-1),(U195-T195)/(DATE(YEAR(T195),12,31)-DATE(YEAR(T195),1,1)+1),(DATE(YEAR(T195)+1,1,1)-T195)/(DATE(YEAR(T195),12,31)-DATE(YEAR(T195),1,1)+1)+(U195-DATE(YEAR(U195),1,1))/(DATE(YEAR(U195),12,31)-DATE(YEAR(U195),1,1)+1)))),2)+IF(U195&lt;'Навигатор накоплений'!F27,N('Навигатор накоплений'!G27),0))+0*LEN("V195"))</f>
        <v/>
      </c>
    </row>
    <row r="196" spans="11:22" ht="15" x14ac:dyDescent="0.2">
      <c r="K196" s="45" t="str">
        <f>IF(OR(L195="",L195&gt;='Навигатор накоплений'!F22),"",(L195)+0*LEN("K196"))</f>
        <v/>
      </c>
      <c r="L196" s="45" t="str">
        <f>IF(K196="","",(MIN(EDATE(K196,1),'Навигатор накоплений'!F22))+0*LEN("L196"))</f>
        <v/>
      </c>
      <c r="M196" s="46" t="str">
        <f>IF(L196="","",(ROUND(M195*(1+'Навигатор накоплений'!D22*(IF(YEAR(K196)=YEAR(L196-1),(L196-K196)/(DATE(YEAR(K196),12,31)-DATE(YEAR(K196),1,1)+1),(DATE(YEAR(K196)+1,1,1)-K196)/(DATE(YEAR(K196),12,31)-DATE(YEAR(K196),1,1)+1)+(L196-DATE(YEAR(L196),1,1))/(DATE(YEAR(L196),12,31)-DATE(YEAR(L196),1,1)+1)))),2)+IF(L196&lt;'Навигатор накоплений'!F22,N('Навигатор накоплений'!G22),0))+0*LEN("M196"))</f>
        <v/>
      </c>
      <c r="N196" s="45" t="str">
        <f>IF(OR(O195="",O195&gt;='Навигатор накоплений'!F23),"",(O195)+0*LEN("N196"))</f>
        <v/>
      </c>
      <c r="O196" s="45" t="str">
        <f>IF(N196="","",(MIN(EDATE(N196,1),'Навигатор накоплений'!F23))+0*LEN("O196"))</f>
        <v/>
      </c>
      <c r="P196" s="46" t="str">
        <f>IF(O196="","",(ROUND(P195*(1+'Навигатор накоплений'!D23*(IF(YEAR(N196)=YEAR(O196-1),(O196-N196)/(DATE(YEAR(N196),12,31)-DATE(YEAR(N196),1,1)+1),(DATE(YEAR(N196)+1,1,1)-N196)/(DATE(YEAR(N196),12,31)-DATE(YEAR(N196),1,1)+1)+(O196-DATE(YEAR(O196),1,1))/(DATE(YEAR(O196),12,31)-DATE(YEAR(O196),1,1)+1)))),2)+IF(O196&lt;'Навигатор накоплений'!F23,N('Навигатор накоплений'!G23),0))+0*LEN("P196"))</f>
        <v/>
      </c>
      <c r="Q196" s="45" t="str">
        <f>IF(OR(R195="",R195&gt;='Навигатор накоплений'!F24),"",(R195)+0*LEN("Q196"))</f>
        <v/>
      </c>
      <c r="R196" s="45" t="str">
        <f>IF(Q196="","",(MIN(EDATE(Q196,1),'Навигатор накоплений'!F24))+0*LEN("R196"))</f>
        <v/>
      </c>
      <c r="S196" s="46" t="str">
        <f>IF(R196="","",(ROUND(S195*(1+'Навигатор накоплений'!D24*(IF(YEAR(Q196)=YEAR(R196-1),(R196-Q196)/(DATE(YEAR(Q196),12,31)-DATE(YEAR(Q196),1,1)+1),(DATE(YEAR(Q196)+1,1,1)-Q196)/(DATE(YEAR(Q196),12,31)-DATE(YEAR(Q196),1,1)+1)+(R196-DATE(YEAR(R196),1,1))/(DATE(YEAR(R196),12,31)-DATE(YEAR(R196),1,1)+1)))),2)+IF(R196&lt;'Навигатор накоплений'!F24,N('Навигатор накоплений'!G24),0))+0*LEN("S196"))</f>
        <v/>
      </c>
      <c r="T196" s="45" t="str">
        <f>IF(OR(U195="",U195&gt;='Навигатор накоплений'!F27),"",(U195)+0*LEN("T196"))</f>
        <v/>
      </c>
      <c r="U196" s="45" t="str">
        <f>IF(T196="","",(MIN(EDATE(T196,1),'Навигатор накоплений'!F27))+0*LEN("U196"))</f>
        <v/>
      </c>
      <c r="V196" s="46" t="str">
        <f>IF(U196="","",(ROUND(V195*(1+'Навигатор накоплений'!D27*(IF(YEAR(T196)=YEAR(U196-1),(U196-T196)/(DATE(YEAR(T196),12,31)-DATE(YEAR(T196),1,1)+1),(DATE(YEAR(T196)+1,1,1)-T196)/(DATE(YEAR(T196),12,31)-DATE(YEAR(T196),1,1)+1)+(U196-DATE(YEAR(U196),1,1))/(DATE(YEAR(U196),12,31)-DATE(YEAR(U196),1,1)+1)))),2)+IF(U196&lt;'Навигатор накоплений'!F27,N('Навигатор накоплений'!G27),0))+0*LEN("V196"))</f>
        <v/>
      </c>
    </row>
    <row r="197" spans="11:22" ht="15" x14ac:dyDescent="0.2">
      <c r="K197" s="45" t="str">
        <f>IF(OR(L196="",L196&gt;='Навигатор накоплений'!F22),"",(L196)+0*LEN("K197"))</f>
        <v/>
      </c>
      <c r="L197" s="45" t="str">
        <f>IF(K197="","",(MIN(EDATE(K197,1),'Навигатор накоплений'!F22))+0*LEN("L197"))</f>
        <v/>
      </c>
      <c r="M197" s="46" t="str">
        <f>IF(L197="","",(ROUND(M196*(1+'Навигатор накоплений'!D22*(IF(YEAR(K197)=YEAR(L197-1),(L197-K197)/(DATE(YEAR(K197),12,31)-DATE(YEAR(K197),1,1)+1),(DATE(YEAR(K197)+1,1,1)-K197)/(DATE(YEAR(K197),12,31)-DATE(YEAR(K197),1,1)+1)+(L197-DATE(YEAR(L197),1,1))/(DATE(YEAR(L197),12,31)-DATE(YEAR(L197),1,1)+1)))),2)+IF(L197&lt;'Навигатор накоплений'!F22,N('Навигатор накоплений'!G22),0))+0*LEN("M197"))</f>
        <v/>
      </c>
      <c r="N197" s="45" t="str">
        <f>IF(OR(O196="",O196&gt;='Навигатор накоплений'!F23),"",(O196)+0*LEN("N197"))</f>
        <v/>
      </c>
      <c r="O197" s="45" t="str">
        <f>IF(N197="","",(MIN(EDATE(N197,1),'Навигатор накоплений'!F23))+0*LEN("O197"))</f>
        <v/>
      </c>
      <c r="P197" s="46" t="str">
        <f>IF(O197="","",(ROUND(P196*(1+'Навигатор накоплений'!D23*(IF(YEAR(N197)=YEAR(O197-1),(O197-N197)/(DATE(YEAR(N197),12,31)-DATE(YEAR(N197),1,1)+1),(DATE(YEAR(N197)+1,1,1)-N197)/(DATE(YEAR(N197),12,31)-DATE(YEAR(N197),1,1)+1)+(O197-DATE(YEAR(O197),1,1))/(DATE(YEAR(O197),12,31)-DATE(YEAR(O197),1,1)+1)))),2)+IF(O197&lt;'Навигатор накоплений'!F23,N('Навигатор накоплений'!G23),0))+0*LEN("P197"))</f>
        <v/>
      </c>
      <c r="Q197" s="45" t="str">
        <f>IF(OR(R196="",R196&gt;='Навигатор накоплений'!F24),"",(R196)+0*LEN("Q197"))</f>
        <v/>
      </c>
      <c r="R197" s="45" t="str">
        <f>IF(Q197="","",(MIN(EDATE(Q197,1),'Навигатор накоплений'!F24))+0*LEN("R197"))</f>
        <v/>
      </c>
      <c r="S197" s="46" t="str">
        <f>IF(R197="","",(ROUND(S196*(1+'Навигатор накоплений'!D24*(IF(YEAR(Q197)=YEAR(R197-1),(R197-Q197)/(DATE(YEAR(Q197),12,31)-DATE(YEAR(Q197),1,1)+1),(DATE(YEAR(Q197)+1,1,1)-Q197)/(DATE(YEAR(Q197),12,31)-DATE(YEAR(Q197),1,1)+1)+(R197-DATE(YEAR(R197),1,1))/(DATE(YEAR(R197),12,31)-DATE(YEAR(R197),1,1)+1)))),2)+IF(R197&lt;'Навигатор накоплений'!F24,N('Навигатор накоплений'!G24),0))+0*LEN("S197"))</f>
        <v/>
      </c>
      <c r="T197" s="45" t="str">
        <f>IF(OR(U196="",U196&gt;='Навигатор накоплений'!F27),"",(U196)+0*LEN("T197"))</f>
        <v/>
      </c>
      <c r="U197" s="45" t="str">
        <f>IF(T197="","",(MIN(EDATE(T197,1),'Навигатор накоплений'!F27))+0*LEN("U197"))</f>
        <v/>
      </c>
      <c r="V197" s="46" t="str">
        <f>IF(U197="","",(ROUND(V196*(1+'Навигатор накоплений'!D27*(IF(YEAR(T197)=YEAR(U197-1),(U197-T197)/(DATE(YEAR(T197),12,31)-DATE(YEAR(T197),1,1)+1),(DATE(YEAR(T197)+1,1,1)-T197)/(DATE(YEAR(T197),12,31)-DATE(YEAR(T197),1,1)+1)+(U197-DATE(YEAR(U197),1,1))/(DATE(YEAR(U197),12,31)-DATE(YEAR(U197),1,1)+1)))),2)+IF(U197&lt;'Навигатор накоплений'!F27,N('Навигатор накоплений'!G27),0))+0*LEN("V197"))</f>
        <v/>
      </c>
    </row>
    <row r="198" spans="11:22" ht="15" x14ac:dyDescent="0.2">
      <c r="K198" s="45" t="str">
        <f>IF(OR(L197="",L197&gt;='Навигатор накоплений'!F22),"",(L197)+0*LEN("K198"))</f>
        <v/>
      </c>
      <c r="L198" s="45" t="str">
        <f>IF(K198="","",(MIN(EDATE(K198,1),'Навигатор накоплений'!F22))+0*LEN("L198"))</f>
        <v/>
      </c>
      <c r="M198" s="46" t="str">
        <f>IF(L198="","",(ROUND(M197*(1+'Навигатор накоплений'!D22*(IF(YEAR(K198)=YEAR(L198-1),(L198-K198)/(DATE(YEAR(K198),12,31)-DATE(YEAR(K198),1,1)+1),(DATE(YEAR(K198)+1,1,1)-K198)/(DATE(YEAR(K198),12,31)-DATE(YEAR(K198),1,1)+1)+(L198-DATE(YEAR(L198),1,1))/(DATE(YEAR(L198),12,31)-DATE(YEAR(L198),1,1)+1)))),2)+IF(L198&lt;'Навигатор накоплений'!F22,N('Навигатор накоплений'!G22),0))+0*LEN("M198"))</f>
        <v/>
      </c>
      <c r="N198" s="45" t="str">
        <f>IF(OR(O197="",O197&gt;='Навигатор накоплений'!F23),"",(O197)+0*LEN("N198"))</f>
        <v/>
      </c>
      <c r="O198" s="45" t="str">
        <f>IF(N198="","",(MIN(EDATE(N198,1),'Навигатор накоплений'!F23))+0*LEN("O198"))</f>
        <v/>
      </c>
      <c r="P198" s="46" t="str">
        <f>IF(O198="","",(ROUND(P197*(1+'Навигатор накоплений'!D23*(IF(YEAR(N198)=YEAR(O198-1),(O198-N198)/(DATE(YEAR(N198),12,31)-DATE(YEAR(N198),1,1)+1),(DATE(YEAR(N198)+1,1,1)-N198)/(DATE(YEAR(N198),12,31)-DATE(YEAR(N198),1,1)+1)+(O198-DATE(YEAR(O198),1,1))/(DATE(YEAR(O198),12,31)-DATE(YEAR(O198),1,1)+1)))),2)+IF(O198&lt;'Навигатор накоплений'!F23,N('Навигатор накоплений'!G23),0))+0*LEN("P198"))</f>
        <v/>
      </c>
      <c r="Q198" s="45" t="str">
        <f>IF(OR(R197="",R197&gt;='Навигатор накоплений'!F24),"",(R197)+0*LEN("Q198"))</f>
        <v/>
      </c>
      <c r="R198" s="45" t="str">
        <f>IF(Q198="","",(MIN(EDATE(Q198,1),'Навигатор накоплений'!F24))+0*LEN("R198"))</f>
        <v/>
      </c>
      <c r="S198" s="46" t="str">
        <f>IF(R198="","",(ROUND(S197*(1+'Навигатор накоплений'!D24*(IF(YEAR(Q198)=YEAR(R198-1),(R198-Q198)/(DATE(YEAR(Q198),12,31)-DATE(YEAR(Q198),1,1)+1),(DATE(YEAR(Q198)+1,1,1)-Q198)/(DATE(YEAR(Q198),12,31)-DATE(YEAR(Q198),1,1)+1)+(R198-DATE(YEAR(R198),1,1))/(DATE(YEAR(R198),12,31)-DATE(YEAR(R198),1,1)+1)))),2)+IF(R198&lt;'Навигатор накоплений'!F24,N('Навигатор накоплений'!G24),0))+0*LEN("S198"))</f>
        <v/>
      </c>
      <c r="T198" s="45" t="str">
        <f>IF(OR(U197="",U197&gt;='Навигатор накоплений'!F27),"",(U197)+0*LEN("T198"))</f>
        <v/>
      </c>
      <c r="U198" s="45" t="str">
        <f>IF(T198="","",(MIN(EDATE(T198,1),'Навигатор накоплений'!F27))+0*LEN("U198"))</f>
        <v/>
      </c>
      <c r="V198" s="46" t="str">
        <f>IF(U198="","",(ROUND(V197*(1+'Навигатор накоплений'!D27*(IF(YEAR(T198)=YEAR(U198-1),(U198-T198)/(DATE(YEAR(T198),12,31)-DATE(YEAR(T198),1,1)+1),(DATE(YEAR(T198)+1,1,1)-T198)/(DATE(YEAR(T198),12,31)-DATE(YEAR(T198),1,1)+1)+(U198-DATE(YEAR(U198),1,1))/(DATE(YEAR(U198),12,31)-DATE(YEAR(U198),1,1)+1)))),2)+IF(U198&lt;'Навигатор накоплений'!F27,N('Навигатор накоплений'!G27),0))+0*LEN("V198"))</f>
        <v/>
      </c>
    </row>
    <row r="199" spans="11:22" ht="15" x14ac:dyDescent="0.2">
      <c r="K199" s="45" t="str">
        <f>IF(OR(L198="",L198&gt;='Навигатор накоплений'!F22),"",(L198)+0*LEN("K199"))</f>
        <v/>
      </c>
      <c r="L199" s="45" t="str">
        <f>IF(K199="","",(MIN(EDATE(K199,1),'Навигатор накоплений'!F22))+0*LEN("L199"))</f>
        <v/>
      </c>
      <c r="M199" s="46" t="str">
        <f>IF(L199="","",(ROUND(M198*(1+'Навигатор накоплений'!D22*(IF(YEAR(K199)=YEAR(L199-1),(L199-K199)/(DATE(YEAR(K199),12,31)-DATE(YEAR(K199),1,1)+1),(DATE(YEAR(K199)+1,1,1)-K199)/(DATE(YEAR(K199),12,31)-DATE(YEAR(K199),1,1)+1)+(L199-DATE(YEAR(L199),1,1))/(DATE(YEAR(L199),12,31)-DATE(YEAR(L199),1,1)+1)))),2)+IF(L199&lt;'Навигатор накоплений'!F22,N('Навигатор накоплений'!G22),0))+0*LEN("M199"))</f>
        <v/>
      </c>
      <c r="N199" s="45" t="str">
        <f>IF(OR(O198="",O198&gt;='Навигатор накоплений'!F23),"",(O198)+0*LEN("N199"))</f>
        <v/>
      </c>
      <c r="O199" s="45" t="str">
        <f>IF(N199="","",(MIN(EDATE(N199,1),'Навигатор накоплений'!F23))+0*LEN("O199"))</f>
        <v/>
      </c>
      <c r="P199" s="46" t="str">
        <f>IF(O199="","",(ROUND(P198*(1+'Навигатор накоплений'!D23*(IF(YEAR(N199)=YEAR(O199-1),(O199-N199)/(DATE(YEAR(N199),12,31)-DATE(YEAR(N199),1,1)+1),(DATE(YEAR(N199)+1,1,1)-N199)/(DATE(YEAR(N199),12,31)-DATE(YEAR(N199),1,1)+1)+(O199-DATE(YEAR(O199),1,1))/(DATE(YEAR(O199),12,31)-DATE(YEAR(O199),1,1)+1)))),2)+IF(O199&lt;'Навигатор накоплений'!F23,N('Навигатор накоплений'!G23),0))+0*LEN("P199"))</f>
        <v/>
      </c>
      <c r="Q199" s="45" t="str">
        <f>IF(OR(R198="",R198&gt;='Навигатор накоплений'!F24),"",(R198)+0*LEN("Q199"))</f>
        <v/>
      </c>
      <c r="R199" s="45" t="str">
        <f>IF(Q199="","",(MIN(EDATE(Q199,1),'Навигатор накоплений'!F24))+0*LEN("R199"))</f>
        <v/>
      </c>
      <c r="S199" s="46" t="str">
        <f>IF(R199="","",(ROUND(S198*(1+'Навигатор накоплений'!D24*(IF(YEAR(Q199)=YEAR(R199-1),(R199-Q199)/(DATE(YEAR(Q199),12,31)-DATE(YEAR(Q199),1,1)+1),(DATE(YEAR(Q199)+1,1,1)-Q199)/(DATE(YEAR(Q199),12,31)-DATE(YEAR(Q199),1,1)+1)+(R199-DATE(YEAR(R199),1,1))/(DATE(YEAR(R199),12,31)-DATE(YEAR(R199),1,1)+1)))),2)+IF(R199&lt;'Навигатор накоплений'!F24,N('Навигатор накоплений'!G24),0))+0*LEN("S199"))</f>
        <v/>
      </c>
      <c r="T199" s="45" t="str">
        <f>IF(OR(U198="",U198&gt;='Навигатор накоплений'!F27),"",(U198)+0*LEN("T199"))</f>
        <v/>
      </c>
      <c r="U199" s="45" t="str">
        <f>IF(T199="","",(MIN(EDATE(T199,1),'Навигатор накоплений'!F27))+0*LEN("U199"))</f>
        <v/>
      </c>
      <c r="V199" s="46" t="str">
        <f>IF(U199="","",(ROUND(V198*(1+'Навигатор накоплений'!D27*(IF(YEAR(T199)=YEAR(U199-1),(U199-T199)/(DATE(YEAR(T199),12,31)-DATE(YEAR(T199),1,1)+1),(DATE(YEAR(T199)+1,1,1)-T199)/(DATE(YEAR(T199),12,31)-DATE(YEAR(T199),1,1)+1)+(U199-DATE(YEAR(U199),1,1))/(DATE(YEAR(U199),12,31)-DATE(YEAR(U199),1,1)+1)))),2)+IF(U199&lt;'Навигатор накоплений'!F27,N('Навигатор накоплений'!G27),0))+0*LEN("V199"))</f>
        <v/>
      </c>
    </row>
    <row r="200" spans="11:22" ht="15" x14ac:dyDescent="0.2">
      <c r="K200" s="45" t="str">
        <f>IF(OR(L199="",L199&gt;='Навигатор накоплений'!F22),"",(L199)+0*LEN("K200"))</f>
        <v/>
      </c>
      <c r="L200" s="45" t="str">
        <f>IF(K200="","",(MIN(EDATE(K200,1),'Навигатор накоплений'!F22))+0*LEN("L200"))</f>
        <v/>
      </c>
      <c r="M200" s="46" t="str">
        <f>IF(L200="","",(ROUND(M199*(1+'Навигатор накоплений'!D22*(IF(YEAR(K200)=YEAR(L200-1),(L200-K200)/(DATE(YEAR(K200),12,31)-DATE(YEAR(K200),1,1)+1),(DATE(YEAR(K200)+1,1,1)-K200)/(DATE(YEAR(K200),12,31)-DATE(YEAR(K200),1,1)+1)+(L200-DATE(YEAR(L200),1,1))/(DATE(YEAR(L200),12,31)-DATE(YEAR(L200),1,1)+1)))),2)+IF(L200&lt;'Навигатор накоплений'!F22,N('Навигатор накоплений'!G22),0))+0*LEN("M200"))</f>
        <v/>
      </c>
      <c r="N200" s="45" t="str">
        <f>IF(OR(O199="",O199&gt;='Навигатор накоплений'!F23),"",(O199)+0*LEN("N200"))</f>
        <v/>
      </c>
      <c r="O200" s="45" t="str">
        <f>IF(N200="","",(MIN(EDATE(N200,1),'Навигатор накоплений'!F23))+0*LEN("O200"))</f>
        <v/>
      </c>
      <c r="P200" s="46" t="str">
        <f>IF(O200="","",(ROUND(P199*(1+'Навигатор накоплений'!D23*(IF(YEAR(N200)=YEAR(O200-1),(O200-N200)/(DATE(YEAR(N200),12,31)-DATE(YEAR(N200),1,1)+1),(DATE(YEAR(N200)+1,1,1)-N200)/(DATE(YEAR(N200),12,31)-DATE(YEAR(N200),1,1)+1)+(O200-DATE(YEAR(O200),1,1))/(DATE(YEAR(O200),12,31)-DATE(YEAR(O200),1,1)+1)))),2)+IF(O200&lt;'Навигатор накоплений'!F23,N('Навигатор накоплений'!G23),0))+0*LEN("P200"))</f>
        <v/>
      </c>
      <c r="Q200" s="45" t="str">
        <f>IF(OR(R199="",R199&gt;='Навигатор накоплений'!F24),"",(R199)+0*LEN("Q200"))</f>
        <v/>
      </c>
      <c r="R200" s="45" t="str">
        <f>IF(Q200="","",(MIN(EDATE(Q200,1),'Навигатор накоплений'!F24))+0*LEN("R200"))</f>
        <v/>
      </c>
      <c r="S200" s="46" t="str">
        <f>IF(R200="","",(ROUND(S199*(1+'Навигатор накоплений'!D24*(IF(YEAR(Q200)=YEAR(R200-1),(R200-Q200)/(DATE(YEAR(Q200),12,31)-DATE(YEAR(Q200),1,1)+1),(DATE(YEAR(Q200)+1,1,1)-Q200)/(DATE(YEAR(Q200),12,31)-DATE(YEAR(Q200),1,1)+1)+(R200-DATE(YEAR(R200),1,1))/(DATE(YEAR(R200),12,31)-DATE(YEAR(R200),1,1)+1)))),2)+IF(R200&lt;'Навигатор накоплений'!F24,N('Навигатор накоплений'!G24),0))+0*LEN("S200"))</f>
        <v/>
      </c>
      <c r="T200" s="45" t="str">
        <f>IF(OR(U199="",U199&gt;='Навигатор накоплений'!F27),"",(U199)+0*LEN("T200"))</f>
        <v/>
      </c>
      <c r="U200" s="45" t="str">
        <f>IF(T200="","",(MIN(EDATE(T200,1),'Навигатор накоплений'!F27))+0*LEN("U200"))</f>
        <v/>
      </c>
      <c r="V200" s="46" t="str">
        <f>IF(U200="","",(ROUND(V199*(1+'Навигатор накоплений'!D27*(IF(YEAR(T200)=YEAR(U200-1),(U200-T200)/(DATE(YEAR(T200),12,31)-DATE(YEAR(T200),1,1)+1),(DATE(YEAR(T200)+1,1,1)-T200)/(DATE(YEAR(T200),12,31)-DATE(YEAR(T200),1,1)+1)+(U200-DATE(YEAR(U200),1,1))/(DATE(YEAR(U200),12,31)-DATE(YEAR(U200),1,1)+1)))),2)+IF(U200&lt;'Навигатор накоплений'!F27,N('Навигатор накоплений'!G27),0))+0*LEN("V200"))</f>
        <v/>
      </c>
    </row>
    <row r="201" spans="11:22" ht="15" x14ac:dyDescent="0.2">
      <c r="K201" s="45" t="str">
        <f>IF(OR(L200="",L200&gt;='Навигатор накоплений'!F22),"",(L200)+0*LEN("K201"))</f>
        <v/>
      </c>
      <c r="L201" s="45" t="str">
        <f>IF(K201="","",(MIN(EDATE(K201,1),'Навигатор накоплений'!F22))+0*LEN("L201"))</f>
        <v/>
      </c>
      <c r="M201" s="46" t="str">
        <f>IF(L201="","",(ROUND(M200*(1+'Навигатор накоплений'!D22*(IF(YEAR(K201)=YEAR(L201-1),(L201-K201)/(DATE(YEAR(K201),12,31)-DATE(YEAR(K201),1,1)+1),(DATE(YEAR(K201)+1,1,1)-K201)/(DATE(YEAR(K201),12,31)-DATE(YEAR(K201),1,1)+1)+(L201-DATE(YEAR(L201),1,1))/(DATE(YEAR(L201),12,31)-DATE(YEAR(L201),1,1)+1)))),2)+IF(L201&lt;'Навигатор накоплений'!F22,N('Навигатор накоплений'!G22),0))+0*LEN("M201"))</f>
        <v/>
      </c>
      <c r="N201" s="45" t="str">
        <f>IF(OR(O200="",O200&gt;='Навигатор накоплений'!F23),"",(O200)+0*LEN("N201"))</f>
        <v/>
      </c>
      <c r="O201" s="45" t="str">
        <f>IF(N201="","",(MIN(EDATE(N201,1),'Навигатор накоплений'!F23))+0*LEN("O201"))</f>
        <v/>
      </c>
      <c r="P201" s="46" t="str">
        <f>IF(O201="","",(ROUND(P200*(1+'Навигатор накоплений'!D23*(IF(YEAR(N201)=YEAR(O201-1),(O201-N201)/(DATE(YEAR(N201),12,31)-DATE(YEAR(N201),1,1)+1),(DATE(YEAR(N201)+1,1,1)-N201)/(DATE(YEAR(N201),12,31)-DATE(YEAR(N201),1,1)+1)+(O201-DATE(YEAR(O201),1,1))/(DATE(YEAR(O201),12,31)-DATE(YEAR(O201),1,1)+1)))),2)+IF(O201&lt;'Навигатор накоплений'!F23,N('Навигатор накоплений'!G23),0))+0*LEN("P201"))</f>
        <v/>
      </c>
      <c r="Q201" s="45" t="str">
        <f>IF(OR(R200="",R200&gt;='Навигатор накоплений'!F24),"",(R200)+0*LEN("Q201"))</f>
        <v/>
      </c>
      <c r="R201" s="45" t="str">
        <f>IF(Q201="","",(MIN(EDATE(Q201,1),'Навигатор накоплений'!F24))+0*LEN("R201"))</f>
        <v/>
      </c>
      <c r="S201" s="46" t="str">
        <f>IF(R201="","",(ROUND(S200*(1+'Навигатор накоплений'!D24*(IF(YEAR(Q201)=YEAR(R201-1),(R201-Q201)/(DATE(YEAR(Q201),12,31)-DATE(YEAR(Q201),1,1)+1),(DATE(YEAR(Q201)+1,1,1)-Q201)/(DATE(YEAR(Q201),12,31)-DATE(YEAR(Q201),1,1)+1)+(R201-DATE(YEAR(R201),1,1))/(DATE(YEAR(R201),12,31)-DATE(YEAR(R201),1,1)+1)))),2)+IF(R201&lt;'Навигатор накоплений'!F24,N('Навигатор накоплений'!G24),0))+0*LEN("S201"))</f>
        <v/>
      </c>
      <c r="T201" s="45" t="str">
        <f>IF(OR(U200="",U200&gt;='Навигатор накоплений'!F27),"",(U200)+0*LEN("T201"))</f>
        <v/>
      </c>
      <c r="U201" s="45" t="str">
        <f>IF(T201="","",(MIN(EDATE(T201,1),'Навигатор накоплений'!F27))+0*LEN("U201"))</f>
        <v/>
      </c>
      <c r="V201" s="46" t="str">
        <f>IF(U201="","",(ROUND(V200*(1+'Навигатор накоплений'!D27*(IF(YEAR(T201)=YEAR(U201-1),(U201-T201)/(DATE(YEAR(T201),12,31)-DATE(YEAR(T201),1,1)+1),(DATE(YEAR(T201)+1,1,1)-T201)/(DATE(YEAR(T201),12,31)-DATE(YEAR(T201),1,1)+1)+(U201-DATE(YEAR(U201),1,1))/(DATE(YEAR(U201),12,31)-DATE(YEAR(U201),1,1)+1)))),2)+IF(U201&lt;'Навигатор накоплений'!F27,N('Навигатор накоплений'!G27),0))+0*LEN("V201"))</f>
        <v/>
      </c>
    </row>
  </sheetData>
  <mergeCells count="31">
    <mergeCell ref="A76:I76"/>
    <mergeCell ref="A90:D90"/>
    <mergeCell ref="A93:I93"/>
    <mergeCell ref="A107:D107"/>
    <mergeCell ref="Z5:AC5"/>
    <mergeCell ref="AN5:AQ5"/>
    <mergeCell ref="Z67:AA67"/>
    <mergeCell ref="A59:I59"/>
    <mergeCell ref="A73:D73"/>
    <mergeCell ref="A22:D22"/>
    <mergeCell ref="A25:I25"/>
    <mergeCell ref="A39:D39"/>
    <mergeCell ref="A42:I42"/>
    <mergeCell ref="A56:D56"/>
    <mergeCell ref="AE5:AH5"/>
    <mergeCell ref="AJ5:AM5"/>
    <mergeCell ref="AE67:AF67"/>
    <mergeCell ref="AJ67:AK67"/>
    <mergeCell ref="K1:V1"/>
    <mergeCell ref="K3:V3"/>
    <mergeCell ref="K5:N5"/>
    <mergeCell ref="K67:L67"/>
    <mergeCell ref="P5:S5"/>
    <mergeCell ref="P67:Q67"/>
    <mergeCell ref="U5:X5"/>
    <mergeCell ref="U67:V67"/>
    <mergeCell ref="A1:I1"/>
    <mergeCell ref="A3:I3"/>
    <mergeCell ref="A4:I4"/>
    <mergeCell ref="A5:I5"/>
    <mergeCell ref="A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Навигатор накоплений</vt:lpstr>
      <vt:lpstr>Расчеты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PX15157 UserPX</cp:lastModifiedBy>
  <dcterms:created xsi:type="dcterms:W3CDTF">2026-09-03T11:36:38Z</dcterms:created>
  <dcterms:modified xsi:type="dcterms:W3CDTF">2026-09-03T11:36:38Z</dcterms:modified>
</cp:coreProperties>
</file>